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tabRatio="874" activeTab="0"/>
  </bookViews>
  <sheets>
    <sheet name="Потери 2022 г" sheetId="1" r:id="rId1"/>
  </sheets>
  <definedNames>
    <definedName name="_xlnm.Print_Area" localSheetId="0">'Потери 2022 г'!$A$1:$T$46</definedName>
  </definedNames>
  <calcPr fullCalcOnLoad="1"/>
</workbook>
</file>

<file path=xl/sharedStrings.xml><?xml version="1.0" encoding="utf-8"?>
<sst xmlns="http://schemas.openxmlformats.org/spreadsheetml/2006/main" count="97" uniqueCount="48">
  <si>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</si>
  <si>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</si>
  <si>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</si>
  <si>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</si>
  <si>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</si>
  <si>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</si>
  <si>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</si>
  <si>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</si>
  <si>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</si>
  <si>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</si>
  <si>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</si>
  <si>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</si>
  <si>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</si>
  <si>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</si>
  <si>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Поступило  в сеть ( кВтч)</t>
  </si>
  <si>
    <t>То же  в %%</t>
  </si>
  <si>
    <t>Итого:</t>
  </si>
  <si>
    <t>Отпущено  из  сети (кВтч)</t>
  </si>
  <si>
    <t>Потери (кВтч)</t>
  </si>
  <si>
    <t>Потери, всего (кВтч)</t>
  </si>
  <si>
    <t>из  них:</t>
  </si>
  <si>
    <t>нормативные</t>
  </si>
  <si>
    <t>сверхнормативные</t>
  </si>
  <si>
    <t>% к отпуску  в сеть</t>
  </si>
  <si>
    <t>Нерегулируемая  цена для  плановых потерь</t>
  </si>
  <si>
    <t>нерегулируемая цена для сверхплановых потерь</t>
  </si>
  <si>
    <t>затраты  на  плановые  потери</t>
  </si>
  <si>
    <t>затраты  на  сверхплановые  потери</t>
  </si>
  <si>
    <t>Итого  затраты  на  покупку  потерь ( без НДС)</t>
  </si>
  <si>
    <t>Тарифы на потери  (без  НДС) (руб)</t>
  </si>
  <si>
    <t>Всего затрат  на  покупку  технологического расхода    потерь  электроэнергии с НДС (руб)</t>
  </si>
  <si>
    <t>Примечание</t>
  </si>
  <si>
    <t>стр.2-стр.3-стр.4</t>
  </si>
  <si>
    <t>СВЕДЕНИЯ О РАЗМЕРАХ   ТЕХНОЛОГИЧЕСКОГО  РАСХОДА  ПОТЕРЬ ЭЛЕКТРОЭНЕРГИИ,ВОЗНИКАЮЩИХ В ЭЛЕКТРИЧЕСКИХ СЕТЯХ  Акционерного  общества  "МУРМАНЭНЕРГОСБЫТ"</t>
  </si>
  <si>
    <t>СН-1</t>
  </si>
  <si>
    <t>СН-2</t>
  </si>
  <si>
    <t>НН</t>
  </si>
  <si>
    <t>5.1.</t>
  </si>
  <si>
    <t>5.2.</t>
  </si>
  <si>
    <t>5.3.</t>
  </si>
  <si>
    <t>с разбивкой по уровням напряжения</t>
  </si>
  <si>
    <t>5.4.</t>
  </si>
  <si>
    <t>Форма № 3</t>
  </si>
  <si>
    <t>договор купли -продажи № 5160100006 от 01.02.2015г АО "АтомЭнергоСбыт"</t>
  </si>
  <si>
    <t>Затраты  на  покупку  потерь                                 (руб)</t>
  </si>
  <si>
    <t>Собственные  нужды</t>
  </si>
  <si>
    <t>договор купли -продажи № 652-П от 01.01.2020г ООО "Арктик-энерго"</t>
  </si>
  <si>
    <t>ФАКТ  2022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</si>
</sst>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1" fontId="43" fillId="0" borderId="10" xfId="0" applyNumberFormat="1" applyFont="1" applyBorder="1" applyAlignment="1">
      <alignment vertical="center"/>
    </xf>
    <xf numFmtId="191" fontId="44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91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9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V47"/>
  <sheetViews>
    <sheetView tabSelected="1" zoomScale="90" zoomScaleNormal="90" zoomScalePageLayoutView="0" workbookViewId="0" topLeftCell="A1">
      <selection activeCell="R13" sqref="R13"/>
    </sheetView>
  </sheetViews>
  <sheetFormatPr defaultColWidth="9.140625" defaultRowHeight="15"/>
  <cols>
    <col min="1" max="1" width="14.28125" style="0" customWidth="1"/>
    <col min="2" max="10" width="13.7109375" style="0" customWidth="1"/>
    <col min="11" max="11" width="8.28125" style="0" customWidth="1"/>
    <col min="12" max="12" width="13.7109375" style="0" customWidth="1"/>
    <col min="13" max="13" width="9.28125" style="0" customWidth="1"/>
    <col min="14" max="14" width="13.28125" style="0" customWidth="1"/>
    <col min="15" max="15" width="9.57421875" style="0" customWidth="1"/>
    <col min="16" max="16" width="13.140625" style="0" customWidth="1"/>
    <col min="17" max="17" width="12.8515625" style="0" customWidth="1"/>
    <col min="18" max="18" width="14.140625" style="0" customWidth="1"/>
    <col min="19" max="19" width="13.28125" style="0" customWidth="1"/>
    <col min="20" max="20" width="25.28125" style="0" customWidth="1"/>
    <col min="21" max="21" width="10.00390625" style="0" bestFit="1" customWidth="1"/>
    <col min="22" max="22" width="11.28125" style="0" bestFit="1" customWidth="1"/>
  </cols>
  <sheetData>
    <row r="1" spans="1:20" ht="18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T1" t="s">
        <v>42</v>
      </c>
    </row>
    <row r="2" spans="1:19" ht="24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9:13" ht="18.75">
      <c r="I3" s="30" t="s">
        <v>47</v>
      </c>
      <c r="J3" s="32"/>
      <c r="K3" s="32"/>
      <c r="L3" s="32"/>
      <c r="M3" s="32"/>
    </row>
    <row r="4" ht="24.75" customHeight="1">
      <c r="D4" s="27"/>
    </row>
    <row r="5" spans="1:20" ht="18.75" customHeight="1">
      <c r="A5" s="33" t="s">
        <v>0</v>
      </c>
      <c r="B5" s="34" t="s">
        <v>13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 t="s">
        <v>29</v>
      </c>
      <c r="O5" s="37"/>
      <c r="P5" s="36" t="s">
        <v>44</v>
      </c>
      <c r="Q5" s="40"/>
      <c r="R5" s="37"/>
      <c r="S5" s="52" t="s">
        <v>30</v>
      </c>
      <c r="T5" s="52" t="s">
        <v>31</v>
      </c>
    </row>
    <row r="6" spans="1:20" ht="17.25" customHeight="1">
      <c r="A6" s="33"/>
      <c r="B6" s="45" t="s">
        <v>14</v>
      </c>
      <c r="C6" s="46" t="s">
        <v>45</v>
      </c>
      <c r="D6" s="45" t="s">
        <v>17</v>
      </c>
      <c r="E6" s="42" t="s">
        <v>18</v>
      </c>
      <c r="F6" s="43"/>
      <c r="G6" s="44"/>
      <c r="H6" s="33" t="s">
        <v>19</v>
      </c>
      <c r="I6" s="49" t="s">
        <v>15</v>
      </c>
      <c r="J6" s="42" t="s">
        <v>20</v>
      </c>
      <c r="K6" s="43"/>
      <c r="L6" s="43"/>
      <c r="M6" s="44"/>
      <c r="N6" s="38"/>
      <c r="O6" s="39"/>
      <c r="P6" s="38"/>
      <c r="Q6" s="41"/>
      <c r="R6" s="39"/>
      <c r="S6" s="53"/>
      <c r="T6" s="53"/>
    </row>
    <row r="7" spans="1:20" ht="29.25" customHeight="1">
      <c r="A7" s="33"/>
      <c r="B7" s="45"/>
      <c r="C7" s="47"/>
      <c r="D7" s="45"/>
      <c r="E7" s="42" t="s">
        <v>40</v>
      </c>
      <c r="F7" s="43"/>
      <c r="G7" s="44"/>
      <c r="H7" s="33"/>
      <c r="I7" s="50"/>
      <c r="J7" s="33" t="s">
        <v>21</v>
      </c>
      <c r="K7" s="33"/>
      <c r="L7" s="42" t="s">
        <v>22</v>
      </c>
      <c r="M7" s="44"/>
      <c r="N7" s="45" t="s">
        <v>24</v>
      </c>
      <c r="O7" s="45" t="s">
        <v>25</v>
      </c>
      <c r="P7" s="45" t="s">
        <v>26</v>
      </c>
      <c r="Q7" s="45" t="s">
        <v>27</v>
      </c>
      <c r="R7" s="45" t="s">
        <v>28</v>
      </c>
      <c r="S7" s="53"/>
      <c r="T7" s="53"/>
    </row>
    <row r="8" spans="1:20" ht="68.25" customHeight="1">
      <c r="A8" s="33"/>
      <c r="B8" s="45"/>
      <c r="C8" s="48"/>
      <c r="D8" s="45"/>
      <c r="E8" s="21" t="s">
        <v>34</v>
      </c>
      <c r="F8" s="21" t="s">
        <v>35</v>
      </c>
      <c r="G8" s="21" t="s">
        <v>36</v>
      </c>
      <c r="H8" s="33"/>
      <c r="I8" s="51"/>
      <c r="J8" s="21" t="s">
        <v>18</v>
      </c>
      <c r="K8" s="20" t="s">
        <v>23</v>
      </c>
      <c r="L8" s="21" t="s">
        <v>18</v>
      </c>
      <c r="M8" s="20" t="s">
        <v>23</v>
      </c>
      <c r="N8" s="45"/>
      <c r="O8" s="45"/>
      <c r="P8" s="45"/>
      <c r="Q8" s="45"/>
      <c r="R8" s="45"/>
      <c r="S8" s="54"/>
      <c r="T8" s="54"/>
    </row>
    <row r="9" spans="1:20" ht="12.75" customHeight="1">
      <c r="A9" s="19">
        <v>1</v>
      </c>
      <c r="B9" s="19">
        <v>2</v>
      </c>
      <c r="C9" s="19">
        <v>3</v>
      </c>
      <c r="D9" s="19">
        <v>4</v>
      </c>
      <c r="E9" s="19" t="s">
        <v>37</v>
      </c>
      <c r="F9" s="19" t="s">
        <v>38</v>
      </c>
      <c r="G9" s="19" t="s">
        <v>39</v>
      </c>
      <c r="H9" s="19" t="s">
        <v>41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22">
        <v>11</v>
      </c>
      <c r="O9" s="19">
        <v>12</v>
      </c>
      <c r="P9" s="22">
        <v>13</v>
      </c>
      <c r="Q9" s="22">
        <v>14</v>
      </c>
      <c r="R9" s="19">
        <v>15</v>
      </c>
      <c r="S9" s="9">
        <v>16</v>
      </c>
      <c r="T9" s="9">
        <v>17</v>
      </c>
    </row>
    <row r="10" spans="1:20" ht="15" customHeight="1">
      <c r="A10" s="6"/>
      <c r="B10" s="6"/>
      <c r="C10" s="6"/>
      <c r="D10" s="6"/>
      <c r="E10" s="6"/>
      <c r="F10" s="6"/>
      <c r="G10" s="6"/>
      <c r="H10" s="18" t="s">
        <v>32</v>
      </c>
      <c r="I10" s="6"/>
      <c r="J10" s="6"/>
      <c r="K10" s="6"/>
      <c r="L10" s="6"/>
      <c r="M10" s="6"/>
      <c r="N10" s="7"/>
      <c r="O10" s="6"/>
      <c r="P10" s="7"/>
      <c r="Q10" s="7"/>
      <c r="R10" s="6"/>
      <c r="S10" s="1"/>
      <c r="T10" s="17"/>
    </row>
    <row r="11" spans="1:20" ht="15">
      <c r="A11" s="1" t="s">
        <v>1</v>
      </c>
      <c r="B11" s="2">
        <f>12405890-223303</f>
        <v>12182587</v>
      </c>
      <c r="C11" s="2">
        <v>103536</v>
      </c>
      <c r="D11" s="2">
        <f>10577279-103536</f>
        <v>10473743</v>
      </c>
      <c r="E11" s="2">
        <v>39375</v>
      </c>
      <c r="F11" s="2">
        <v>634904</v>
      </c>
      <c r="G11" s="2">
        <v>931029</v>
      </c>
      <c r="H11" s="2">
        <f>B11-C11-D11</f>
        <v>1605308</v>
      </c>
      <c r="I11" s="10">
        <f>H11/B11*100</f>
        <v>13.177069862090868</v>
      </c>
      <c r="J11" s="2">
        <v>1120560</v>
      </c>
      <c r="K11" s="12">
        <f>J11/B11*100</f>
        <v>9.198046359118962</v>
      </c>
      <c r="L11" s="2">
        <f>H11-J11</f>
        <v>484748</v>
      </c>
      <c r="M11" s="12">
        <f>L11/B11*100</f>
        <v>3.979023502971905</v>
      </c>
      <c r="N11" s="23">
        <v>2.76817</v>
      </c>
      <c r="O11" s="23">
        <v>2.44683</v>
      </c>
      <c r="P11" s="13">
        <f>ROUND(J11*N11,2)</f>
        <v>3101900.58</v>
      </c>
      <c r="Q11" s="13">
        <f>ROUND(L11*O11,4)</f>
        <v>1186095.9488</v>
      </c>
      <c r="R11" s="3">
        <f>P11+Q11</f>
        <v>4287996.5287999995</v>
      </c>
      <c r="S11" s="14">
        <f>ROUNDUP(R11*1.2,2)</f>
        <v>5145595.84</v>
      </c>
      <c r="T11" s="55" t="s">
        <v>43</v>
      </c>
    </row>
    <row r="12" spans="1:20" ht="14.25" customHeight="1">
      <c r="A12" s="1" t="s">
        <v>2</v>
      </c>
      <c r="B12" s="2">
        <f>11249536-199901</f>
        <v>11049635</v>
      </c>
      <c r="C12" s="2">
        <v>187449</v>
      </c>
      <c r="D12" s="2">
        <f>10015759-187446</f>
        <v>9828313</v>
      </c>
      <c r="E12" s="2">
        <v>36156</v>
      </c>
      <c r="F12" s="2">
        <v>364778</v>
      </c>
      <c r="G12" s="2">
        <v>632942</v>
      </c>
      <c r="H12" s="2">
        <f aca="true" t="shared" si="0" ref="H12:H22">B12-C12-D12</f>
        <v>1033873</v>
      </c>
      <c r="I12" s="10">
        <f aca="true" t="shared" si="1" ref="I12:I22">H12/B12*100</f>
        <v>9.356625807096796</v>
      </c>
      <c r="J12" s="2">
        <v>1028620</v>
      </c>
      <c r="K12" s="12">
        <f aca="true" t="shared" si="2" ref="K12:K22">J12/B12*100</f>
        <v>9.30908577523149</v>
      </c>
      <c r="L12" s="2">
        <f aca="true" t="shared" si="3" ref="L12:L22">H12-J12</f>
        <v>5253</v>
      </c>
      <c r="M12" s="12">
        <f aca="true" t="shared" si="4" ref="M12:M22">L12/B12*100</f>
        <v>0.047540031865305955</v>
      </c>
      <c r="N12" s="23">
        <v>2.99192</v>
      </c>
      <c r="O12" s="23">
        <v>2.67058</v>
      </c>
      <c r="P12" s="13">
        <f>ROUND(J12*N12,2)</f>
        <v>3077548.75</v>
      </c>
      <c r="Q12" s="13">
        <f>ROUND(L12*O12,2)</f>
        <v>14028.56</v>
      </c>
      <c r="R12" s="3">
        <f aca="true" t="shared" si="5" ref="R12:R22">P12+Q12</f>
        <v>3091577.31</v>
      </c>
      <c r="S12" s="14">
        <f>ROUNDDOWN(R12*1.2,2)</f>
        <v>3709892.77</v>
      </c>
      <c r="T12" s="56"/>
    </row>
    <row r="13" spans="1:20" ht="15">
      <c r="A13" s="1" t="s">
        <v>3</v>
      </c>
      <c r="B13" s="2">
        <f>10947676-188689</f>
        <v>10758987</v>
      </c>
      <c r="C13" s="2">
        <v>77007</v>
      </c>
      <c r="D13" s="2">
        <f>8878010-77007</f>
        <v>8801003</v>
      </c>
      <c r="E13" s="2">
        <v>34171</v>
      </c>
      <c r="F13" s="2">
        <v>689144</v>
      </c>
      <c r="G13" s="2">
        <v>1157662</v>
      </c>
      <c r="H13" s="2">
        <f t="shared" si="0"/>
        <v>1880977</v>
      </c>
      <c r="I13" s="10">
        <f t="shared" si="1"/>
        <v>17.482844806857745</v>
      </c>
      <c r="J13" s="25">
        <v>940358</v>
      </c>
      <c r="K13" s="12">
        <f t="shared" si="2"/>
        <v>8.740209463957898</v>
      </c>
      <c r="L13" s="2">
        <f>H13-J13</f>
        <v>940619</v>
      </c>
      <c r="M13" s="12">
        <f t="shared" si="4"/>
        <v>8.742635342899847</v>
      </c>
      <c r="N13" s="23">
        <v>2.75281</v>
      </c>
      <c r="O13" s="23">
        <v>2.43147</v>
      </c>
      <c r="P13" s="13">
        <f>ROUND(J13*N13,2)</f>
        <v>2588626.91</v>
      </c>
      <c r="Q13" s="13">
        <f>ROUND(L13*O13,2)</f>
        <v>2287086.88</v>
      </c>
      <c r="R13" s="3">
        <f t="shared" si="5"/>
        <v>4875713.79</v>
      </c>
      <c r="S13" s="14">
        <f>R13*1.2</f>
        <v>5850856.5479999995</v>
      </c>
      <c r="T13" s="56"/>
    </row>
    <row r="14" spans="1:20" ht="15" customHeight="1">
      <c r="A14" s="1" t="s">
        <v>4</v>
      </c>
      <c r="B14" s="2">
        <f>9534313-164894</f>
        <v>9369419</v>
      </c>
      <c r="C14" s="2">
        <v>56945</v>
      </c>
      <c r="D14" s="2">
        <f>8421173-56945</f>
        <v>8364228</v>
      </c>
      <c r="E14" s="2">
        <v>29765</v>
      </c>
      <c r="F14" s="2">
        <v>341687</v>
      </c>
      <c r="G14" s="2">
        <v>576794</v>
      </c>
      <c r="H14" s="2">
        <f t="shared" si="0"/>
        <v>948246</v>
      </c>
      <c r="I14" s="10">
        <f t="shared" si="1"/>
        <v>10.120648889755063</v>
      </c>
      <c r="J14" s="25">
        <v>924776</v>
      </c>
      <c r="K14" s="12">
        <f t="shared" si="2"/>
        <v>9.870153101275543</v>
      </c>
      <c r="L14" s="2">
        <f t="shared" si="3"/>
        <v>23470</v>
      </c>
      <c r="M14" s="12">
        <f t="shared" si="4"/>
        <v>0.2504957884795205</v>
      </c>
      <c r="N14" s="23">
        <v>2.76171</v>
      </c>
      <c r="O14" s="23">
        <v>2.44037</v>
      </c>
      <c r="P14" s="13">
        <f aca="true" t="shared" si="6" ref="P14:P22">ROUND(J14*N14,2)</f>
        <v>2553963.13</v>
      </c>
      <c r="Q14" s="13">
        <f aca="true" t="shared" si="7" ref="Q14:Q22">ROUND(L14*O14,2)</f>
        <v>57275.48</v>
      </c>
      <c r="R14" s="3">
        <f t="shared" si="5"/>
        <v>2611238.61</v>
      </c>
      <c r="S14" s="14">
        <f>R14*1.2</f>
        <v>3133486.332</v>
      </c>
      <c r="T14" s="56"/>
    </row>
    <row r="15" spans="1:20" ht="15">
      <c r="A15" s="1" t="s">
        <v>5</v>
      </c>
      <c r="B15" s="2">
        <f>5750660+2621773</f>
        <v>8372433</v>
      </c>
      <c r="C15" s="2">
        <v>45666</v>
      </c>
      <c r="D15" s="2">
        <f>7552508-45666</f>
        <v>7506842</v>
      </c>
      <c r="E15" s="2">
        <v>26647</v>
      </c>
      <c r="F15" s="2">
        <v>329164</v>
      </c>
      <c r="G15" s="2">
        <v>464114</v>
      </c>
      <c r="H15" s="2">
        <f t="shared" si="0"/>
        <v>819925</v>
      </c>
      <c r="I15" s="10">
        <f t="shared" si="1"/>
        <v>9.793150927573862</v>
      </c>
      <c r="J15" s="25">
        <v>755815</v>
      </c>
      <c r="K15" s="12">
        <f t="shared" si="2"/>
        <v>9.027423689147469</v>
      </c>
      <c r="L15" s="2">
        <f t="shared" si="3"/>
        <v>64110</v>
      </c>
      <c r="M15" s="12">
        <f t="shared" si="4"/>
        <v>0.7657272384263929</v>
      </c>
      <c r="N15" s="23">
        <v>2.55251</v>
      </c>
      <c r="O15" s="23">
        <v>2.23117</v>
      </c>
      <c r="P15" s="13">
        <f>ROUNDDOWN(J15*N15,2)</f>
        <v>1929225.34</v>
      </c>
      <c r="Q15" s="13">
        <f t="shared" si="7"/>
        <v>143040.31</v>
      </c>
      <c r="R15" s="3">
        <f>P15+Q15</f>
        <v>2072265.6500000001</v>
      </c>
      <c r="S15" s="14">
        <f aca="true" t="shared" si="8" ref="S15:S22">R15*1.2</f>
        <v>2486718.7800000003</v>
      </c>
      <c r="T15" s="56"/>
    </row>
    <row r="16" spans="1:20" ht="15">
      <c r="A16" s="1" t="s">
        <v>6</v>
      </c>
      <c r="B16" s="2">
        <f>8062833-128167</f>
        <v>7934666</v>
      </c>
      <c r="C16" s="2">
        <v>22487</v>
      </c>
      <c r="D16" s="2">
        <f>7223568-22487</f>
        <v>7201081</v>
      </c>
      <c r="E16" s="2">
        <v>25795</v>
      </c>
      <c r="F16" s="2">
        <v>373747</v>
      </c>
      <c r="G16" s="2">
        <v>311556</v>
      </c>
      <c r="H16" s="2">
        <f t="shared" si="0"/>
        <v>711098</v>
      </c>
      <c r="I16" s="10">
        <f t="shared" si="1"/>
        <v>8.961914717015183</v>
      </c>
      <c r="J16" s="25">
        <v>649141</v>
      </c>
      <c r="K16" s="12">
        <f t="shared" si="2"/>
        <v>8.181075296679156</v>
      </c>
      <c r="L16" s="2">
        <f>H16-J16</f>
        <v>61957</v>
      </c>
      <c r="M16" s="12">
        <f t="shared" si="4"/>
        <v>0.7808394203360293</v>
      </c>
      <c r="N16" s="23">
        <v>2.64821</v>
      </c>
      <c r="O16" s="23">
        <v>2.32687</v>
      </c>
      <c r="P16" s="13">
        <f t="shared" si="6"/>
        <v>1719061.69</v>
      </c>
      <c r="Q16" s="13">
        <f t="shared" si="7"/>
        <v>144165.88</v>
      </c>
      <c r="R16" s="3">
        <f t="shared" si="5"/>
        <v>1863227.5699999998</v>
      </c>
      <c r="S16" s="14">
        <f t="shared" si="8"/>
        <v>2235873.084</v>
      </c>
      <c r="T16" s="56"/>
    </row>
    <row r="17" spans="1:22" ht="15">
      <c r="A17" s="1" t="s">
        <v>7</v>
      </c>
      <c r="B17" s="2">
        <f>7028385-125973</f>
        <v>6902412</v>
      </c>
      <c r="C17" s="2">
        <v>10547</v>
      </c>
      <c r="D17" s="2">
        <f>6085741-10547</f>
        <v>6075194</v>
      </c>
      <c r="E17" s="2">
        <v>21303</v>
      </c>
      <c r="F17" s="2">
        <v>375708</v>
      </c>
      <c r="G17" s="2">
        <v>419660</v>
      </c>
      <c r="H17" s="2">
        <f t="shared" si="0"/>
        <v>816671</v>
      </c>
      <c r="I17" s="10">
        <f t="shared" si="1"/>
        <v>11.831675651931528</v>
      </c>
      <c r="J17" s="25">
        <v>777263</v>
      </c>
      <c r="K17" s="12">
        <f t="shared" si="2"/>
        <v>11.260744794718136</v>
      </c>
      <c r="L17" s="2">
        <f t="shared" si="3"/>
        <v>39408</v>
      </c>
      <c r="M17" s="12">
        <f t="shared" si="4"/>
        <v>0.5709308572133914</v>
      </c>
      <c r="N17" s="23">
        <v>2.71368</v>
      </c>
      <c r="O17" s="23">
        <v>2.2823</v>
      </c>
      <c r="P17" s="13">
        <f t="shared" si="6"/>
        <v>2109243.06</v>
      </c>
      <c r="Q17" s="13">
        <f t="shared" si="7"/>
        <v>89940.88</v>
      </c>
      <c r="R17" s="3">
        <f t="shared" si="5"/>
        <v>2199183.94</v>
      </c>
      <c r="S17" s="14">
        <f t="shared" si="8"/>
        <v>2639020.7279999997</v>
      </c>
      <c r="T17" s="56"/>
      <c r="V17" s="15"/>
    </row>
    <row r="18" spans="1:20" ht="15" customHeight="1">
      <c r="A18" s="1" t="s">
        <v>8</v>
      </c>
      <c r="B18" s="2">
        <f>7955699-135742</f>
        <v>7819957</v>
      </c>
      <c r="C18" s="2">
        <v>21381</v>
      </c>
      <c r="D18" s="2">
        <f>6948042-21381</f>
        <v>6926661</v>
      </c>
      <c r="E18" s="2">
        <v>25006</v>
      </c>
      <c r="F18" s="2">
        <v>277929</v>
      </c>
      <c r="G18" s="2">
        <v>568980</v>
      </c>
      <c r="H18" s="2">
        <f t="shared" si="0"/>
        <v>871915</v>
      </c>
      <c r="I18" s="10">
        <f t="shared" si="1"/>
        <v>11.149869494167296</v>
      </c>
      <c r="J18" s="25">
        <v>794150</v>
      </c>
      <c r="K18" s="12">
        <f t="shared" si="2"/>
        <v>10.155426685850061</v>
      </c>
      <c r="L18" s="2">
        <f t="shared" si="3"/>
        <v>77765</v>
      </c>
      <c r="M18" s="12">
        <f t="shared" si="4"/>
        <v>0.9944428083172325</v>
      </c>
      <c r="N18" s="23">
        <v>2.65274</v>
      </c>
      <c r="O18" s="23">
        <v>2.22136</v>
      </c>
      <c r="P18" s="13">
        <f t="shared" si="6"/>
        <v>2106673.47</v>
      </c>
      <c r="Q18" s="13">
        <f t="shared" si="7"/>
        <v>172744.06</v>
      </c>
      <c r="R18" s="3">
        <f t="shared" si="5"/>
        <v>2279417.5300000003</v>
      </c>
      <c r="S18" s="14">
        <f>FLOOR(R18*1.2,0.01)</f>
        <v>2735301.0300000003</v>
      </c>
      <c r="T18" s="56"/>
    </row>
    <row r="19" spans="1:20" ht="15">
      <c r="A19" s="1" t="s">
        <v>9</v>
      </c>
      <c r="B19" s="2">
        <f>8717696-147096</f>
        <v>8570600</v>
      </c>
      <c r="C19" s="2">
        <v>37508</v>
      </c>
      <c r="D19" s="2">
        <f>7772150-37508</f>
        <v>7734642</v>
      </c>
      <c r="E19" s="2">
        <v>27003</v>
      </c>
      <c r="F19" s="2">
        <v>414809</v>
      </c>
      <c r="G19" s="2">
        <v>356638</v>
      </c>
      <c r="H19" s="2">
        <f t="shared" si="0"/>
        <v>798450</v>
      </c>
      <c r="I19" s="10">
        <f t="shared" si="1"/>
        <v>9.316150561220917</v>
      </c>
      <c r="J19" s="25">
        <v>798450</v>
      </c>
      <c r="K19" s="12">
        <f t="shared" si="2"/>
        <v>9.316150561220917</v>
      </c>
      <c r="L19" s="2">
        <f t="shared" si="3"/>
        <v>0</v>
      </c>
      <c r="M19" s="12">
        <f t="shared" si="4"/>
        <v>0</v>
      </c>
      <c r="N19" s="23">
        <v>2.86458</v>
      </c>
      <c r="O19" s="23">
        <v>2.4332</v>
      </c>
      <c r="P19" s="13">
        <f t="shared" si="6"/>
        <v>2287223.9</v>
      </c>
      <c r="Q19" s="13">
        <f t="shared" si="7"/>
        <v>0</v>
      </c>
      <c r="R19" s="3">
        <f t="shared" si="5"/>
        <v>2287223.9</v>
      </c>
      <c r="S19" s="14">
        <f t="shared" si="8"/>
        <v>2744668.6799999997</v>
      </c>
      <c r="T19" s="56"/>
    </row>
    <row r="20" spans="1:20" ht="15">
      <c r="A20" s="1" t="s">
        <v>10</v>
      </c>
      <c r="B20" s="2">
        <f>9759394-156008</f>
        <v>9603386</v>
      </c>
      <c r="C20" s="2">
        <v>52648</v>
      </c>
      <c r="D20" s="2">
        <f>7916573-52648</f>
        <v>7863925</v>
      </c>
      <c r="E20" s="2">
        <v>30099</v>
      </c>
      <c r="F20" s="2">
        <v>558680</v>
      </c>
      <c r="G20" s="2">
        <v>1098034</v>
      </c>
      <c r="H20" s="2">
        <f t="shared" si="0"/>
        <v>1686813</v>
      </c>
      <c r="I20" s="10">
        <f t="shared" si="1"/>
        <v>17.56477350801061</v>
      </c>
      <c r="J20" s="25">
        <v>944389</v>
      </c>
      <c r="K20" s="12">
        <f t="shared" si="2"/>
        <v>9.833916912222417</v>
      </c>
      <c r="L20" s="2">
        <f t="shared" si="3"/>
        <v>742424</v>
      </c>
      <c r="M20" s="12">
        <f t="shared" si="4"/>
        <v>7.730856595788193</v>
      </c>
      <c r="N20" s="23">
        <v>2.86428</v>
      </c>
      <c r="O20" s="23">
        <v>2.4329</v>
      </c>
      <c r="P20" s="13">
        <f t="shared" si="6"/>
        <v>2704994.52</v>
      </c>
      <c r="Q20" s="13">
        <f t="shared" si="7"/>
        <v>1806243.35</v>
      </c>
      <c r="R20" s="3">
        <f t="shared" si="5"/>
        <v>4511237.87</v>
      </c>
      <c r="S20" s="14">
        <f t="shared" si="8"/>
        <v>5413485.444</v>
      </c>
      <c r="T20" s="56"/>
    </row>
    <row r="21" spans="1:20" ht="15">
      <c r="A21" s="1" t="s">
        <v>11</v>
      </c>
      <c r="B21" s="2">
        <f>10653427-162696</f>
        <v>10490731</v>
      </c>
      <c r="C21" s="2">
        <v>74804</v>
      </c>
      <c r="D21" s="2">
        <f>9028976-74804</f>
        <v>8954172</v>
      </c>
      <c r="E21" s="2">
        <v>32973</v>
      </c>
      <c r="F21" s="2">
        <v>593473</v>
      </c>
      <c r="G21" s="2">
        <v>835309</v>
      </c>
      <c r="H21" s="2">
        <f t="shared" si="0"/>
        <v>1461755</v>
      </c>
      <c r="I21" s="10">
        <f t="shared" si="1"/>
        <v>13.933776397469346</v>
      </c>
      <c r="J21" s="25">
        <v>952950</v>
      </c>
      <c r="K21" s="12">
        <f t="shared" si="2"/>
        <v>9.083733059211985</v>
      </c>
      <c r="L21" s="2">
        <f t="shared" si="3"/>
        <v>508805</v>
      </c>
      <c r="M21" s="12">
        <f t="shared" si="4"/>
        <v>4.850043338257363</v>
      </c>
      <c r="N21" s="23">
        <v>2.89386</v>
      </c>
      <c r="O21" s="23">
        <v>2.46248</v>
      </c>
      <c r="P21" s="13">
        <f t="shared" si="6"/>
        <v>2757703.89</v>
      </c>
      <c r="Q21" s="13">
        <f t="shared" si="7"/>
        <v>1252922.14</v>
      </c>
      <c r="R21" s="3">
        <f t="shared" si="5"/>
        <v>4010626.0300000003</v>
      </c>
      <c r="S21" s="14">
        <f>CEILING(R21*1.2,0.01)</f>
        <v>4812751.24</v>
      </c>
      <c r="T21" s="56"/>
    </row>
    <row r="22" spans="1:20" ht="15" customHeight="1">
      <c r="A22" s="1" t="s">
        <v>12</v>
      </c>
      <c r="B22" s="2">
        <f>11908373-185231</f>
        <v>11723142</v>
      </c>
      <c r="C22" s="2">
        <v>86138</v>
      </c>
      <c r="D22" s="2">
        <f>9398981-86138</f>
        <v>9312843</v>
      </c>
      <c r="E22" s="2">
        <v>37249</v>
      </c>
      <c r="F22" s="2">
        <v>735262</v>
      </c>
      <c r="G22" s="2">
        <v>1551650</v>
      </c>
      <c r="H22" s="2">
        <f t="shared" si="0"/>
        <v>2324161</v>
      </c>
      <c r="I22" s="10">
        <f t="shared" si="1"/>
        <v>19.82541028676442</v>
      </c>
      <c r="J22" s="29">
        <v>1022100</v>
      </c>
      <c r="K22" s="12">
        <f t="shared" si="2"/>
        <v>8.718652388583198</v>
      </c>
      <c r="L22" s="2">
        <f t="shared" si="3"/>
        <v>1302061</v>
      </c>
      <c r="M22" s="12">
        <f t="shared" si="4"/>
        <v>11.106757898181222</v>
      </c>
      <c r="N22" s="23">
        <v>2.98198</v>
      </c>
      <c r="O22" s="23">
        <v>2.50102</v>
      </c>
      <c r="P22" s="13">
        <f t="shared" si="6"/>
        <v>3047881.76</v>
      </c>
      <c r="Q22" s="13">
        <f t="shared" si="7"/>
        <v>3256480.6</v>
      </c>
      <c r="R22" s="3">
        <f t="shared" si="5"/>
        <v>6304362.359999999</v>
      </c>
      <c r="S22" s="14">
        <f t="shared" si="8"/>
        <v>7565234.831999999</v>
      </c>
      <c r="T22" s="57"/>
    </row>
    <row r="23" spans="1:20" ht="20.25" customHeight="1">
      <c r="A23" s="4" t="s">
        <v>16</v>
      </c>
      <c r="B23" s="5">
        <f aca="true" t="shared" si="9" ref="B23:H23">SUM(B11:B22)</f>
        <v>114777955</v>
      </c>
      <c r="C23" s="5">
        <f t="shared" si="9"/>
        <v>776116</v>
      </c>
      <c r="D23" s="5">
        <f t="shared" si="9"/>
        <v>99042647</v>
      </c>
      <c r="E23" s="5">
        <f t="shared" si="9"/>
        <v>365542</v>
      </c>
      <c r="F23" s="5">
        <f t="shared" si="9"/>
        <v>5689285</v>
      </c>
      <c r="G23" s="5">
        <f t="shared" si="9"/>
        <v>8904368</v>
      </c>
      <c r="H23" s="5">
        <f t="shared" si="9"/>
        <v>14959192</v>
      </c>
      <c r="I23" s="11">
        <f>H23/B23*100</f>
        <v>13.03315780456273</v>
      </c>
      <c r="J23" s="5">
        <f>SUM(J11:J22)</f>
        <v>10708572</v>
      </c>
      <c r="K23" s="8">
        <f>J23/B23*100</f>
        <v>9.329815991232811</v>
      </c>
      <c r="L23" s="5">
        <f>SUM(L11:L22)</f>
        <v>4250620</v>
      </c>
      <c r="M23" s="8">
        <f>L23/B23*100</f>
        <v>3.7033418133299203</v>
      </c>
      <c r="N23" s="24">
        <f>P23/J23</f>
        <v>2.800004239594224</v>
      </c>
      <c r="O23" s="24">
        <f>Q23/L23</f>
        <v>2.44906015800048</v>
      </c>
      <c r="P23" s="16">
        <f>SUM(P11:P22)</f>
        <v>29984047</v>
      </c>
      <c r="Q23" s="16">
        <f>SUM(Q11:Q22)</f>
        <v>10410024.0888</v>
      </c>
      <c r="R23" s="16">
        <f>SUM(R11:R22)</f>
        <v>40394071.0888</v>
      </c>
      <c r="S23" s="16">
        <f>SUM(S11:S22)</f>
        <v>48472885.308</v>
      </c>
      <c r="T23" s="16"/>
    </row>
    <row r="24" ht="15">
      <c r="R24" s="26">
        <f>R23/H23</f>
        <v>2.7002842859961955</v>
      </c>
    </row>
    <row r="25" spans="1:20" ht="18.75" customHeight="1">
      <c r="A25" s="33" t="s">
        <v>0</v>
      </c>
      <c r="B25" s="34" t="s">
        <v>13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 t="s">
        <v>29</v>
      </c>
      <c r="O25" s="37"/>
      <c r="P25" s="36" t="s">
        <v>44</v>
      </c>
      <c r="Q25" s="40"/>
      <c r="R25" s="37"/>
      <c r="S25" s="52" t="s">
        <v>30</v>
      </c>
      <c r="T25" s="52" t="s">
        <v>31</v>
      </c>
    </row>
    <row r="26" spans="1:20" ht="17.25" customHeight="1">
      <c r="A26" s="33"/>
      <c r="B26" s="45" t="s">
        <v>14</v>
      </c>
      <c r="C26" s="46" t="s">
        <v>45</v>
      </c>
      <c r="D26" s="45" t="s">
        <v>17</v>
      </c>
      <c r="E26" s="42" t="s">
        <v>18</v>
      </c>
      <c r="F26" s="43"/>
      <c r="G26" s="44"/>
      <c r="H26" s="33" t="s">
        <v>19</v>
      </c>
      <c r="I26" s="49" t="s">
        <v>15</v>
      </c>
      <c r="J26" s="42" t="s">
        <v>20</v>
      </c>
      <c r="K26" s="43"/>
      <c r="L26" s="43"/>
      <c r="M26" s="44"/>
      <c r="N26" s="38"/>
      <c r="O26" s="39"/>
      <c r="P26" s="38"/>
      <c r="Q26" s="41"/>
      <c r="R26" s="39"/>
      <c r="S26" s="53"/>
      <c r="T26" s="53"/>
    </row>
    <row r="27" spans="1:20" ht="29.25" customHeight="1">
      <c r="A27" s="33"/>
      <c r="B27" s="45"/>
      <c r="C27" s="47"/>
      <c r="D27" s="45"/>
      <c r="E27" s="42" t="s">
        <v>40</v>
      </c>
      <c r="F27" s="43"/>
      <c r="G27" s="44"/>
      <c r="H27" s="33"/>
      <c r="I27" s="50"/>
      <c r="J27" s="33" t="s">
        <v>21</v>
      </c>
      <c r="K27" s="33"/>
      <c r="L27" s="42" t="s">
        <v>22</v>
      </c>
      <c r="M27" s="44"/>
      <c r="N27" s="45" t="s">
        <v>24</v>
      </c>
      <c r="O27" s="45" t="s">
        <v>25</v>
      </c>
      <c r="P27" s="45" t="s">
        <v>26</v>
      </c>
      <c r="Q27" s="45" t="s">
        <v>27</v>
      </c>
      <c r="R27" s="45" t="s">
        <v>28</v>
      </c>
      <c r="S27" s="53"/>
      <c r="T27" s="53"/>
    </row>
    <row r="28" spans="1:20" ht="68.25" customHeight="1">
      <c r="A28" s="33"/>
      <c r="B28" s="45"/>
      <c r="C28" s="48"/>
      <c r="D28" s="45"/>
      <c r="E28" s="21" t="s">
        <v>34</v>
      </c>
      <c r="F28" s="21" t="s">
        <v>35</v>
      </c>
      <c r="G28" s="21" t="s">
        <v>36</v>
      </c>
      <c r="H28" s="33"/>
      <c r="I28" s="51"/>
      <c r="J28" s="21" t="s">
        <v>18</v>
      </c>
      <c r="K28" s="20" t="s">
        <v>23</v>
      </c>
      <c r="L28" s="21" t="s">
        <v>18</v>
      </c>
      <c r="M28" s="20" t="s">
        <v>23</v>
      </c>
      <c r="N28" s="45"/>
      <c r="O28" s="45"/>
      <c r="P28" s="45"/>
      <c r="Q28" s="45"/>
      <c r="R28" s="45"/>
      <c r="S28" s="54"/>
      <c r="T28" s="54"/>
    </row>
    <row r="29" spans="1:20" ht="12.75" customHeight="1">
      <c r="A29" s="19">
        <v>1</v>
      </c>
      <c r="B29" s="19">
        <v>2</v>
      </c>
      <c r="C29" s="19">
        <v>3</v>
      </c>
      <c r="D29" s="19">
        <v>4</v>
      </c>
      <c r="E29" s="19" t="s">
        <v>37</v>
      </c>
      <c r="F29" s="19" t="s">
        <v>38</v>
      </c>
      <c r="G29" s="19" t="s">
        <v>39</v>
      </c>
      <c r="H29" s="19" t="s">
        <v>41</v>
      </c>
      <c r="I29" s="19">
        <v>6</v>
      </c>
      <c r="J29" s="19">
        <v>7</v>
      </c>
      <c r="K29" s="19">
        <v>8</v>
      </c>
      <c r="L29" s="19">
        <v>9</v>
      </c>
      <c r="M29" s="19">
        <v>10</v>
      </c>
      <c r="N29" s="22">
        <v>11</v>
      </c>
      <c r="O29" s="19">
        <v>12</v>
      </c>
      <c r="P29" s="22">
        <v>13</v>
      </c>
      <c r="Q29" s="22">
        <v>14</v>
      </c>
      <c r="R29" s="19">
        <v>15</v>
      </c>
      <c r="S29" s="9">
        <v>16</v>
      </c>
      <c r="T29" s="9">
        <v>17</v>
      </c>
    </row>
    <row r="30" spans="1:20" ht="15" customHeight="1">
      <c r="A30" s="6"/>
      <c r="B30" s="6"/>
      <c r="C30" s="6"/>
      <c r="D30" s="6"/>
      <c r="E30" s="6"/>
      <c r="F30" s="6"/>
      <c r="G30" s="6"/>
      <c r="H30" s="18" t="s">
        <v>32</v>
      </c>
      <c r="I30" s="6"/>
      <c r="J30" s="6"/>
      <c r="K30" s="6"/>
      <c r="L30" s="6"/>
      <c r="M30" s="6"/>
      <c r="N30" s="7"/>
      <c r="O30" s="6"/>
      <c r="P30" s="7"/>
      <c r="Q30" s="7"/>
      <c r="R30" s="6"/>
      <c r="S30" s="1"/>
      <c r="T30" s="17"/>
    </row>
    <row r="31" spans="1:20" ht="15">
      <c r="A31" s="1" t="s">
        <v>1</v>
      </c>
      <c r="B31" s="2">
        <v>4083560</v>
      </c>
      <c r="C31" s="2"/>
      <c r="D31" s="2">
        <f>208830+3860257</f>
        <v>4069087</v>
      </c>
      <c r="E31" s="2">
        <v>14473</v>
      </c>
      <c r="F31" s="2">
        <v>0</v>
      </c>
      <c r="G31" s="2">
        <v>0</v>
      </c>
      <c r="H31" s="2">
        <f>B31-C31-D31</f>
        <v>14473</v>
      </c>
      <c r="I31" s="10">
        <f>H31/B31*100</f>
        <v>0.35442114233658867</v>
      </c>
      <c r="J31" s="2">
        <v>1440</v>
      </c>
      <c r="K31" s="12">
        <f>J31/B31*100</f>
        <v>0.03526334864676899</v>
      </c>
      <c r="L31" s="2">
        <f>H31-J31</f>
        <v>13033</v>
      </c>
      <c r="M31" s="12">
        <f>L31/B31*100</f>
        <v>0.31915779368981967</v>
      </c>
      <c r="N31" s="23">
        <v>2.65377</v>
      </c>
      <c r="O31" s="23">
        <v>2.31151</v>
      </c>
      <c r="P31" s="13">
        <f>ROUND(J31*N31,2)</f>
        <v>3821.43</v>
      </c>
      <c r="Q31" s="13">
        <f>ROUND(L31*O31,2)</f>
        <v>30125.91</v>
      </c>
      <c r="R31" s="3">
        <f>P31+Q31</f>
        <v>33947.34</v>
      </c>
      <c r="S31" s="14">
        <f aca="true" t="shared" si="10" ref="S31:S37">R31*1.2</f>
        <v>40736.808</v>
      </c>
      <c r="T31" s="55" t="s">
        <v>46</v>
      </c>
    </row>
    <row r="32" spans="1:20" ht="14.25" customHeight="1">
      <c r="A32" s="1" t="s">
        <v>2</v>
      </c>
      <c r="B32" s="2">
        <v>3744610</v>
      </c>
      <c r="C32" s="2"/>
      <c r="D32" s="2">
        <f>186625+3544709</f>
        <v>3731334</v>
      </c>
      <c r="E32" s="2">
        <v>13276</v>
      </c>
      <c r="F32" s="2">
        <v>0</v>
      </c>
      <c r="G32" s="2">
        <v>0</v>
      </c>
      <c r="H32" s="2">
        <f aca="true" t="shared" si="11" ref="H32:H42">B32-C32-D32</f>
        <v>13276</v>
      </c>
      <c r="I32" s="10">
        <f aca="true" t="shared" si="12" ref="I32:I42">H32/B32*100</f>
        <v>0.3545362534416134</v>
      </c>
      <c r="J32" s="2">
        <v>1380</v>
      </c>
      <c r="K32" s="12">
        <f aca="true" t="shared" si="13" ref="K32:K42">J32/B32*100</f>
        <v>0.036852970002216524</v>
      </c>
      <c r="L32" s="2">
        <f aca="true" t="shared" si="14" ref="L32:L42">H32-J32</f>
        <v>11896</v>
      </c>
      <c r="M32" s="12">
        <f aca="true" t="shared" si="15" ref="M32:M42">L32/B32*100</f>
        <v>0.3176832834393969</v>
      </c>
      <c r="N32" s="23">
        <v>2.8821</v>
      </c>
      <c r="O32" s="23">
        <v>2.53984</v>
      </c>
      <c r="P32" s="13">
        <f>ROUND(J32*N32,2)</f>
        <v>3977.3</v>
      </c>
      <c r="Q32" s="13">
        <f>ROUND(L32*O32,2)</f>
        <v>30213.94</v>
      </c>
      <c r="R32" s="3">
        <f aca="true" t="shared" si="16" ref="R32:R42">P32+Q32</f>
        <v>34191.24</v>
      </c>
      <c r="S32" s="14">
        <f t="shared" si="10"/>
        <v>41029.488</v>
      </c>
      <c r="T32" s="56"/>
    </row>
    <row r="33" spans="1:20" ht="15">
      <c r="A33" s="1" t="s">
        <v>3</v>
      </c>
      <c r="B33" s="2">
        <v>3538790</v>
      </c>
      <c r="C33" s="2"/>
      <c r="D33" s="2">
        <f>176143+3350101</f>
        <v>3526244</v>
      </c>
      <c r="E33" s="2">
        <v>12546</v>
      </c>
      <c r="F33" s="2">
        <v>0</v>
      </c>
      <c r="G33" s="2">
        <v>0</v>
      </c>
      <c r="H33" s="2">
        <f t="shared" si="11"/>
        <v>12546</v>
      </c>
      <c r="I33" s="10">
        <f t="shared" si="12"/>
        <v>0.3545279601219626</v>
      </c>
      <c r="J33" s="25">
        <v>1320</v>
      </c>
      <c r="K33" s="12">
        <f t="shared" si="13"/>
        <v>0.03730088533086168</v>
      </c>
      <c r="L33" s="2">
        <f t="shared" si="14"/>
        <v>11226</v>
      </c>
      <c r="M33" s="12">
        <f t="shared" si="15"/>
        <v>0.3172270747911009</v>
      </c>
      <c r="N33" s="23">
        <v>2.57652</v>
      </c>
      <c r="O33" s="23">
        <v>2.23426</v>
      </c>
      <c r="P33" s="13">
        <f>ROUND(J33*N33,2)</f>
        <v>3401.01</v>
      </c>
      <c r="Q33" s="13">
        <f>ROUND(L33*O33,2)</f>
        <v>25081.8</v>
      </c>
      <c r="R33" s="3">
        <f t="shared" si="16"/>
        <v>28482.809999999998</v>
      </c>
      <c r="S33" s="14">
        <f t="shared" si="10"/>
        <v>34179.371999999996</v>
      </c>
      <c r="T33" s="56"/>
    </row>
    <row r="34" spans="1:20" ht="15" customHeight="1">
      <c r="A34" s="1" t="s">
        <v>4</v>
      </c>
      <c r="B34" s="2">
        <v>3083015</v>
      </c>
      <c r="C34" s="2"/>
      <c r="D34" s="2">
        <f>2918121+153963</f>
        <v>3072084</v>
      </c>
      <c r="E34" s="2">
        <v>10931</v>
      </c>
      <c r="F34" s="2">
        <v>0</v>
      </c>
      <c r="G34" s="2">
        <v>0</v>
      </c>
      <c r="H34" s="2">
        <f t="shared" si="11"/>
        <v>10931</v>
      </c>
      <c r="I34" s="10">
        <f t="shared" si="12"/>
        <v>0.35455552438116583</v>
      </c>
      <c r="J34" s="25">
        <v>1224</v>
      </c>
      <c r="K34" s="12">
        <f t="shared" si="13"/>
        <v>0.03970139619820208</v>
      </c>
      <c r="L34" s="2">
        <f t="shared" si="14"/>
        <v>9707</v>
      </c>
      <c r="M34" s="12">
        <f t="shared" si="15"/>
        <v>0.31485412818296377</v>
      </c>
      <c r="N34" s="23">
        <v>2.62934</v>
      </c>
      <c r="O34" s="23">
        <v>2.28708</v>
      </c>
      <c r="P34" s="13">
        <f aca="true" t="shared" si="17" ref="P34:P42">ROUND(J34*N34,2)</f>
        <v>3218.31</v>
      </c>
      <c r="Q34" s="13">
        <f aca="true" t="shared" si="18" ref="Q34:Q42">ROUND(L34*O34,2)</f>
        <v>22200.69</v>
      </c>
      <c r="R34" s="3">
        <f t="shared" si="16"/>
        <v>25419</v>
      </c>
      <c r="S34" s="14">
        <f t="shared" si="10"/>
        <v>30502.8</v>
      </c>
      <c r="T34" s="56"/>
    </row>
    <row r="35" spans="1:20" ht="15">
      <c r="A35" s="1" t="s">
        <v>5</v>
      </c>
      <c r="B35" s="2">
        <f>2612484+149491</f>
        <v>2761975</v>
      </c>
      <c r="C35" s="2"/>
      <c r="D35" s="2">
        <v>2752185</v>
      </c>
      <c r="E35" s="2">
        <v>9790</v>
      </c>
      <c r="F35" s="2">
        <v>0</v>
      </c>
      <c r="G35" s="2">
        <v>0</v>
      </c>
      <c r="H35" s="2">
        <f t="shared" si="11"/>
        <v>9790</v>
      </c>
      <c r="I35" s="10">
        <f t="shared" si="12"/>
        <v>0.3544565030458277</v>
      </c>
      <c r="J35" s="25">
        <v>950</v>
      </c>
      <c r="K35" s="12">
        <f t="shared" si="13"/>
        <v>0.03439567700648992</v>
      </c>
      <c r="L35" s="2">
        <f t="shared" si="14"/>
        <v>8840</v>
      </c>
      <c r="M35" s="12">
        <f t="shared" si="15"/>
        <v>0.32006082603933783</v>
      </c>
      <c r="N35" s="23">
        <v>2.42523</v>
      </c>
      <c r="O35" s="23">
        <v>2.08297</v>
      </c>
      <c r="P35" s="13">
        <f t="shared" si="17"/>
        <v>2303.97</v>
      </c>
      <c r="Q35" s="13">
        <f t="shared" si="18"/>
        <v>18413.45</v>
      </c>
      <c r="R35" s="3">
        <f t="shared" si="16"/>
        <v>20717.420000000002</v>
      </c>
      <c r="S35" s="14">
        <f t="shared" si="10"/>
        <v>24860.904000000002</v>
      </c>
      <c r="T35" s="56"/>
    </row>
    <row r="36" spans="1:20" ht="15">
      <c r="A36" s="1" t="s">
        <v>6</v>
      </c>
      <c r="B36" s="2">
        <v>2657082</v>
      </c>
      <c r="C36" s="2"/>
      <c r="D36" s="2">
        <f>2528915+118734</f>
        <v>2647649</v>
      </c>
      <c r="E36" s="2">
        <v>9433</v>
      </c>
      <c r="F36" s="2">
        <v>0</v>
      </c>
      <c r="G36" s="2">
        <v>0</v>
      </c>
      <c r="H36" s="2">
        <f t="shared" si="11"/>
        <v>9433</v>
      </c>
      <c r="I36" s="10">
        <f t="shared" si="12"/>
        <v>0.35501350729860803</v>
      </c>
      <c r="J36" s="25">
        <v>859</v>
      </c>
      <c r="K36" s="12">
        <f t="shared" si="13"/>
        <v>0.032328697420704364</v>
      </c>
      <c r="L36" s="2">
        <f t="shared" si="14"/>
        <v>8574</v>
      </c>
      <c r="M36" s="12">
        <f t="shared" si="15"/>
        <v>0.32268480987790366</v>
      </c>
      <c r="N36" s="23">
        <v>2.54206</v>
      </c>
      <c r="O36" s="23">
        <v>2.1998</v>
      </c>
      <c r="P36" s="13">
        <f t="shared" si="17"/>
        <v>2183.63</v>
      </c>
      <c r="Q36" s="13">
        <f t="shared" si="18"/>
        <v>18861.09</v>
      </c>
      <c r="R36" s="3">
        <f t="shared" si="16"/>
        <v>21044.72</v>
      </c>
      <c r="S36" s="14">
        <f t="shared" si="10"/>
        <v>25253.664</v>
      </c>
      <c r="T36" s="56"/>
    </row>
    <row r="37" spans="1:22" ht="15">
      <c r="A37" s="1" t="s">
        <v>7</v>
      </c>
      <c r="B37" s="2">
        <v>2214506</v>
      </c>
      <c r="C37" s="2"/>
      <c r="D37" s="2">
        <f>2088533+118128</f>
        <v>2206661</v>
      </c>
      <c r="E37" s="2">
        <v>7845</v>
      </c>
      <c r="F37" s="2">
        <v>0</v>
      </c>
      <c r="G37" s="2">
        <v>0</v>
      </c>
      <c r="H37" s="2">
        <f t="shared" si="11"/>
        <v>7845</v>
      </c>
      <c r="I37" s="10">
        <f t="shared" si="12"/>
        <v>0.35425507991398536</v>
      </c>
      <c r="J37" s="25">
        <v>737</v>
      </c>
      <c r="K37" s="12">
        <f t="shared" si="13"/>
        <v>0.033280560088796325</v>
      </c>
      <c r="L37" s="2">
        <f t="shared" si="14"/>
        <v>7108</v>
      </c>
      <c r="M37" s="12">
        <f t="shared" si="15"/>
        <v>0.320974519825189</v>
      </c>
      <c r="N37" s="23">
        <v>2.61875</v>
      </c>
      <c r="O37" s="23">
        <v>2.03368</v>
      </c>
      <c r="P37" s="13">
        <f t="shared" si="17"/>
        <v>1930.02</v>
      </c>
      <c r="Q37" s="13">
        <f t="shared" si="18"/>
        <v>14455.4</v>
      </c>
      <c r="R37" s="3">
        <f t="shared" si="16"/>
        <v>16385.42</v>
      </c>
      <c r="S37" s="14">
        <f t="shared" si="10"/>
        <v>19662.503999999997</v>
      </c>
      <c r="T37" s="56"/>
      <c r="V37" s="15"/>
    </row>
    <row r="38" spans="1:20" ht="15" customHeight="1">
      <c r="A38" s="1" t="s">
        <v>8</v>
      </c>
      <c r="B38" s="2">
        <v>2587345</v>
      </c>
      <c r="C38" s="2"/>
      <c r="D38" s="2">
        <f>2451603+126567</f>
        <v>2578170</v>
      </c>
      <c r="E38" s="2">
        <v>9175</v>
      </c>
      <c r="F38" s="2">
        <v>0</v>
      </c>
      <c r="G38" s="2">
        <v>0</v>
      </c>
      <c r="H38" s="2">
        <f t="shared" si="11"/>
        <v>9175</v>
      </c>
      <c r="I38" s="10">
        <f t="shared" si="12"/>
        <v>0.35461061435564256</v>
      </c>
      <c r="J38" s="25">
        <v>850</v>
      </c>
      <c r="K38" s="12">
        <f t="shared" si="13"/>
        <v>0.032852209504337454</v>
      </c>
      <c r="L38" s="2">
        <f t="shared" si="14"/>
        <v>8325</v>
      </c>
      <c r="M38" s="12">
        <f t="shared" si="15"/>
        <v>0.32175840485130514</v>
      </c>
      <c r="N38" s="23">
        <v>2.52701</v>
      </c>
      <c r="O38" s="23">
        <v>1.94194</v>
      </c>
      <c r="P38" s="13">
        <f t="shared" si="17"/>
        <v>2147.96</v>
      </c>
      <c r="Q38" s="13">
        <f t="shared" si="18"/>
        <v>16166.65</v>
      </c>
      <c r="R38" s="3">
        <f t="shared" si="16"/>
        <v>18314.61</v>
      </c>
      <c r="S38" s="14">
        <f>FLOOR(R38*1.2,0.01)</f>
        <v>21977.53</v>
      </c>
      <c r="T38" s="56"/>
    </row>
    <row r="39" spans="1:20" ht="15">
      <c r="A39" s="1" t="s">
        <v>9</v>
      </c>
      <c r="B39" s="2">
        <v>2794477</v>
      </c>
      <c r="C39" s="2"/>
      <c r="D39" s="2">
        <f>2647381+137187</f>
        <v>2784568</v>
      </c>
      <c r="E39" s="2">
        <v>9909</v>
      </c>
      <c r="F39" s="2">
        <v>0</v>
      </c>
      <c r="G39" s="2">
        <v>0</v>
      </c>
      <c r="H39" s="2">
        <f t="shared" si="11"/>
        <v>9909</v>
      </c>
      <c r="I39" s="10">
        <f t="shared" si="12"/>
        <v>0.35459229043574164</v>
      </c>
      <c r="J39" s="25">
        <v>930</v>
      </c>
      <c r="K39" s="12">
        <f t="shared" si="13"/>
        <v>0.03327993037695426</v>
      </c>
      <c r="L39" s="2">
        <f t="shared" si="14"/>
        <v>8979</v>
      </c>
      <c r="M39" s="12">
        <f t="shared" si="15"/>
        <v>0.3213123600587874</v>
      </c>
      <c r="N39" s="23">
        <v>2.80915</v>
      </c>
      <c r="O39" s="23">
        <v>2.22408</v>
      </c>
      <c r="P39" s="13">
        <f t="shared" si="17"/>
        <v>2612.51</v>
      </c>
      <c r="Q39" s="13">
        <f t="shared" si="18"/>
        <v>19970.01</v>
      </c>
      <c r="R39" s="3">
        <f t="shared" si="16"/>
        <v>22582.519999999997</v>
      </c>
      <c r="S39" s="14">
        <f>R39*1.2</f>
        <v>27099.023999999994</v>
      </c>
      <c r="T39" s="56"/>
    </row>
    <row r="40" spans="1:20" ht="15">
      <c r="A40" s="1" t="s">
        <v>10</v>
      </c>
      <c r="B40" s="2">
        <v>3106909</v>
      </c>
      <c r="C40" s="2"/>
      <c r="D40" s="2">
        <f>2950901+144984</f>
        <v>3095885</v>
      </c>
      <c r="E40" s="2">
        <v>11024</v>
      </c>
      <c r="F40" s="2">
        <v>0</v>
      </c>
      <c r="G40" s="2">
        <v>0</v>
      </c>
      <c r="H40" s="2">
        <f t="shared" si="11"/>
        <v>11024</v>
      </c>
      <c r="I40" s="10">
        <f t="shared" si="12"/>
        <v>0.35482210776047834</v>
      </c>
      <c r="J40" s="25">
        <v>950</v>
      </c>
      <c r="K40" s="12">
        <f t="shared" si="13"/>
        <v>0.030577014003306823</v>
      </c>
      <c r="L40" s="2">
        <f t="shared" si="14"/>
        <v>10074</v>
      </c>
      <c r="M40" s="12">
        <f t="shared" si="15"/>
        <v>0.32424509375717153</v>
      </c>
      <c r="N40" s="23">
        <v>2.78255</v>
      </c>
      <c r="O40" s="23">
        <v>2.19748</v>
      </c>
      <c r="P40" s="13">
        <f t="shared" si="17"/>
        <v>2643.42</v>
      </c>
      <c r="Q40" s="13">
        <f t="shared" si="18"/>
        <v>22137.41</v>
      </c>
      <c r="R40" s="3">
        <f t="shared" si="16"/>
        <v>24780.83</v>
      </c>
      <c r="S40" s="14">
        <f>R40*1.2</f>
        <v>29736.996</v>
      </c>
      <c r="T40" s="56"/>
    </row>
    <row r="41" spans="1:20" ht="15">
      <c r="A41" s="1" t="s">
        <v>11</v>
      </c>
      <c r="B41" s="2">
        <v>3395358</v>
      </c>
      <c r="C41" s="2"/>
      <c r="D41" s="2">
        <v>3383304</v>
      </c>
      <c r="E41" s="2">
        <v>12054</v>
      </c>
      <c r="F41" s="2">
        <v>0</v>
      </c>
      <c r="G41" s="2">
        <v>0</v>
      </c>
      <c r="H41" s="2">
        <f t="shared" si="11"/>
        <v>12054</v>
      </c>
      <c r="I41" s="10">
        <f t="shared" si="12"/>
        <v>0.35501411044137315</v>
      </c>
      <c r="J41" s="25">
        <v>1050</v>
      </c>
      <c r="K41" s="12">
        <f t="shared" si="13"/>
        <v>0.030924574080258987</v>
      </c>
      <c r="L41" s="2">
        <f t="shared" si="14"/>
        <v>11004</v>
      </c>
      <c r="M41" s="12">
        <f t="shared" si="15"/>
        <v>0.3240895363611142</v>
      </c>
      <c r="N41" s="23">
        <v>2.82684</v>
      </c>
      <c r="O41" s="23">
        <v>2.24177</v>
      </c>
      <c r="P41" s="13">
        <f t="shared" si="17"/>
        <v>2968.18</v>
      </c>
      <c r="Q41" s="13">
        <f t="shared" si="18"/>
        <v>24668.44</v>
      </c>
      <c r="R41" s="3">
        <f t="shared" si="16"/>
        <v>27636.62</v>
      </c>
      <c r="S41" s="14">
        <f>CEILING(R41*1.2,0.01)</f>
        <v>33163.95</v>
      </c>
      <c r="T41" s="56"/>
    </row>
    <row r="42" spans="1:20" ht="15" customHeight="1">
      <c r="A42" s="1" t="s">
        <v>12</v>
      </c>
      <c r="B42" s="2">
        <v>3837140</v>
      </c>
      <c r="C42" s="2"/>
      <c r="D42" s="2">
        <v>3823520</v>
      </c>
      <c r="E42" s="2">
        <v>13620</v>
      </c>
      <c r="F42" s="2">
        <v>0</v>
      </c>
      <c r="G42" s="2">
        <v>0</v>
      </c>
      <c r="H42" s="2">
        <f t="shared" si="11"/>
        <v>13620</v>
      </c>
      <c r="I42" s="10">
        <f t="shared" si="12"/>
        <v>0.35495186519126226</v>
      </c>
      <c r="J42" s="25">
        <v>1135</v>
      </c>
      <c r="K42" s="12">
        <f t="shared" si="13"/>
        <v>0.029579322099271853</v>
      </c>
      <c r="L42" s="2">
        <f t="shared" si="14"/>
        <v>12485</v>
      </c>
      <c r="M42" s="12">
        <f t="shared" si="15"/>
        <v>0.3253725430919904</v>
      </c>
      <c r="N42" s="23">
        <v>2.93755</v>
      </c>
      <c r="O42" s="23">
        <v>2.27567</v>
      </c>
      <c r="P42" s="13">
        <f t="shared" si="17"/>
        <v>3334.12</v>
      </c>
      <c r="Q42" s="13">
        <f t="shared" si="18"/>
        <v>28411.74</v>
      </c>
      <c r="R42" s="3">
        <f t="shared" si="16"/>
        <v>31745.86</v>
      </c>
      <c r="S42" s="14">
        <f>R42*1.2</f>
        <v>38095.032</v>
      </c>
      <c r="T42" s="57"/>
    </row>
    <row r="43" spans="1:20" ht="20.25" customHeight="1">
      <c r="A43" s="4" t="s">
        <v>16</v>
      </c>
      <c r="B43" s="5">
        <f aca="true" t="shared" si="19" ref="B43:H43">SUM(B31:B42)</f>
        <v>37804767</v>
      </c>
      <c r="C43" s="5">
        <f t="shared" si="19"/>
        <v>0</v>
      </c>
      <c r="D43" s="5">
        <f t="shared" si="19"/>
        <v>37670691</v>
      </c>
      <c r="E43" s="5">
        <f t="shared" si="19"/>
        <v>134076</v>
      </c>
      <c r="F43" s="5">
        <f t="shared" si="19"/>
        <v>0</v>
      </c>
      <c r="G43" s="5">
        <f t="shared" si="19"/>
        <v>0</v>
      </c>
      <c r="H43" s="5">
        <f t="shared" si="19"/>
        <v>134076</v>
      </c>
      <c r="I43" s="11">
        <f>H43/B43*100</f>
        <v>0.35465368692789456</v>
      </c>
      <c r="J43" s="5">
        <f>SUM(J31:J42)</f>
        <v>12825</v>
      </c>
      <c r="K43" s="8">
        <f>J43/B43*100</f>
        <v>0.03392429319826254</v>
      </c>
      <c r="L43" s="5">
        <f>SUM(L31:L42)</f>
        <v>121251</v>
      </c>
      <c r="M43" s="8">
        <f>L43/B43*100</f>
        <v>0.32072939372963205</v>
      </c>
      <c r="N43" s="24">
        <f>P43/J43</f>
        <v>2.693322417153996</v>
      </c>
      <c r="O43" s="24">
        <f>Q43/L43</f>
        <v>2.2326127619566027</v>
      </c>
      <c r="P43" s="16">
        <f>SUM(P31:P42)</f>
        <v>34541.86</v>
      </c>
      <c r="Q43" s="16">
        <f>SUM(Q31:Q42)</f>
        <v>270706.53</v>
      </c>
      <c r="R43" s="16">
        <f>SUM(R31:R42)</f>
        <v>305248.38999999996</v>
      </c>
      <c r="S43" s="16">
        <f>SUM(S31:S42)</f>
        <v>366298.072</v>
      </c>
      <c r="T43" s="16"/>
    </row>
    <row r="45" ht="15">
      <c r="N45" s="15">
        <f>P23+P43</f>
        <v>30018588.86</v>
      </c>
    </row>
    <row r="46" ht="15">
      <c r="N46">
        <f>N45/(J23+J43)</f>
        <v>2.799876626152357</v>
      </c>
    </row>
    <row r="47" spans="12:18" ht="15">
      <c r="L47" s="28">
        <f>(R23+R43)/(H23+H43)</f>
        <v>2.6965213550040983</v>
      </c>
      <c r="N47">
        <f>(P43-P39+P23-P19)/(J23-J19+J43-J39)</f>
        <v>2.794668911573121</v>
      </c>
      <c r="R47" s="15"/>
    </row>
  </sheetData>
  <sheetProtection/>
  <mergeCells count="47">
    <mergeCell ref="N27:N28"/>
    <mergeCell ref="O27:O28"/>
    <mergeCell ref="P27:P28"/>
    <mergeCell ref="Q27:Q28"/>
    <mergeCell ref="R27:R28"/>
    <mergeCell ref="T31:T42"/>
    <mergeCell ref="H26:H28"/>
    <mergeCell ref="I26:I28"/>
    <mergeCell ref="J26:M26"/>
    <mergeCell ref="E27:G27"/>
    <mergeCell ref="J27:K27"/>
    <mergeCell ref="L27:M27"/>
    <mergeCell ref="A25:A28"/>
    <mergeCell ref="B25:M25"/>
    <mergeCell ref="N25:O26"/>
    <mergeCell ref="P25:R26"/>
    <mergeCell ref="S25:S28"/>
    <mergeCell ref="T25:T28"/>
    <mergeCell ref="B26:B28"/>
    <mergeCell ref="C26:C28"/>
    <mergeCell ref="D26:D28"/>
    <mergeCell ref="E26:G26"/>
    <mergeCell ref="Q7:Q8"/>
    <mergeCell ref="R7:R8"/>
    <mergeCell ref="S5:S8"/>
    <mergeCell ref="E6:G6"/>
    <mergeCell ref="T11:T22"/>
    <mergeCell ref="T5:T8"/>
    <mergeCell ref="L7:M7"/>
    <mergeCell ref="N7:N8"/>
    <mergeCell ref="B6:B8"/>
    <mergeCell ref="C6:C8"/>
    <mergeCell ref="D6:D8"/>
    <mergeCell ref="H6:H8"/>
    <mergeCell ref="I6:I8"/>
    <mergeCell ref="J7:K7"/>
    <mergeCell ref="E7:G7"/>
    <mergeCell ref="A1:O1"/>
    <mergeCell ref="A2:S2"/>
    <mergeCell ref="I3:M3"/>
    <mergeCell ref="A5:A8"/>
    <mergeCell ref="B5:M5"/>
    <mergeCell ref="N5:O6"/>
    <mergeCell ref="P5:R6"/>
    <mergeCell ref="J6:M6"/>
    <mergeCell ref="O7:O8"/>
    <mergeCell ref="P7:P8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2021-12-03T08:49:09Z</cp:lastPrinted>
  <dcterms:created xsi:type="dcterms:W3CDTF">2009-03-31T06:53:37Z</dcterms:created>
  <dcterms:modified xsi:type="dcterms:W3CDTF">2023-01-24T05:37:23Z</dcterms:modified>
  <cp:category/>
  <cp:version/>
  <cp:contentType/>
  <cp:contentStatus/>
</cp:coreProperties>
</file>