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21 г" sheetId="1" r:id="rId1"/>
  </sheets>
  <definedNames>
    <definedName name="_xlnm.Print_Area" localSheetId="0">'Потери 2021 г'!$A$1:$T$46</definedName>
  </definedNames>
  <calcPr fullCalcOnLoad="1"/>
</workbook>
</file>

<file path=xl/sharedStrings.xml><?xml version="1.0" encoding="utf-8"?>
<sst xmlns="http://schemas.openxmlformats.org/spreadsheetml/2006/main" count="97" uniqueCount="48">
  <si>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</si>
  <si>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</si>
  <si>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</si>
  <si>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</si>
  <si>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</si>
  <si>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</si>
  <si>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</si>
  <si>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</si>
  <si>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</si>
  <si>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</si>
  <si>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</si>
  <si>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</si>
  <si>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</si>
  <si>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</si>
  <si>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</si>
  <si>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</si>
  <si>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</si>
  <si>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</si>
  <si>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</si>
  <si>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</si>
  <si>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</si>
  <si>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</si>
  <si>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</si>
  <si>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</si>
  <si>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</si>
  <si>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</si>
  <si>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</si>
  <si>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</si>
  <si>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</si>
  <si>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</si>
  <si>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</si>
  <si>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Примечание</t>
  </si>
  <si>
    <t>стр.2-стр.3-стр.4</t>
  </si>
  <si>
    <t>СВЕДЕНИЯ О РАЗМЕРАХ   ТЕХНОЛОГИЧЕСКОГО  РАСХОДА  ПОТЕРЬ ЭЛЕКТРОЭНЕРГИИ,ВОЗНИКАЮЩИХ В ЭЛЕКТРИЧЕСКИХ СЕТЯХ  Акционерного  общества  "МУРМАНЭНЕРГОСБЫТ"</t>
  </si>
  <si>
    <t>СН-1</t>
  </si>
  <si>
    <t>СН-2</t>
  </si>
  <si>
    <t>НН</t>
  </si>
  <si>
    <t>5.1.</t>
  </si>
  <si>
    <t>5.2.</t>
  </si>
  <si>
    <t>5.3.</t>
  </si>
  <si>
    <t>с разбивкой по уровням напряжения</t>
  </si>
  <si>
    <t>5.4.</t>
  </si>
  <si>
    <t>Форма № 3</t>
  </si>
  <si>
    <t>договор купли -продажи № 5160100006 от 01.02.2015г АО "АтомЭнергоСбыт"</t>
  </si>
  <si>
    <t>Затраты  на  покупку  потерь                                 (руб)</t>
  </si>
  <si>
    <t>Собственные  нужды</t>
  </si>
  <si>
    <t>договор купли -продажи № 652-П от 01.01.2020г ООО "Арктик-энерго"</t>
  </si>
  <si>
    <t>ФАКТ 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</si>
</sst>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43" fillId="0" borderId="10" xfId="0" applyNumberFormat="1" applyFont="1" applyBorder="1" applyAlignment="1">
      <alignment vertical="center"/>
    </xf>
    <xf numFmtId="191" fontId="4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91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93" fontId="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47"/>
  <sheetViews>
    <sheetView tabSelected="1" zoomScalePageLayoutView="0" workbookViewId="0" topLeftCell="A1">
      <selection activeCell="O43" sqref="O43"/>
    </sheetView>
  </sheetViews>
  <sheetFormatPr defaultColWidth="9.140625" defaultRowHeight="15"/>
  <cols>
    <col min="1" max="1" width="14.2812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9.28125" style="0" customWidth="1"/>
    <col min="14" max="14" width="11.28125" style="0" customWidth="1"/>
    <col min="15" max="15" width="9.57421875" style="0" customWidth="1"/>
    <col min="16" max="16" width="13.140625" style="0" customWidth="1"/>
    <col min="17" max="17" width="11.7109375" style="0" customWidth="1"/>
    <col min="18" max="18" width="16.7109375" style="0" customWidth="1"/>
    <col min="19" max="19" width="12.421875" style="0" customWidth="1"/>
    <col min="20" max="20" width="25.28125" style="0" customWidth="1"/>
    <col min="21" max="21" width="10.00390625" style="0" bestFit="1" customWidth="1"/>
    <col min="22" max="22" width="11.28125" style="0" bestFit="1" customWidth="1"/>
  </cols>
  <sheetData>
    <row r="1" spans="1:20" ht="18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T1" t="s">
        <v>42</v>
      </c>
    </row>
    <row r="2" spans="1:19" ht="24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9:13" ht="18.75">
      <c r="I3" s="54" t="s">
        <v>47</v>
      </c>
      <c r="J3" s="56"/>
      <c r="K3" s="56"/>
      <c r="L3" s="56"/>
      <c r="M3" s="56"/>
    </row>
    <row r="4" ht="24.75" customHeight="1">
      <c r="D4" s="27"/>
    </row>
    <row r="5" spans="1:20" ht="18.75" customHeight="1">
      <c r="A5" s="33" t="s">
        <v>0</v>
      </c>
      <c r="B5" s="40" t="s">
        <v>13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 t="s">
        <v>29</v>
      </c>
      <c r="O5" s="43"/>
      <c r="P5" s="42" t="s">
        <v>44</v>
      </c>
      <c r="Q5" s="46"/>
      <c r="R5" s="43"/>
      <c r="S5" s="48" t="s">
        <v>30</v>
      </c>
      <c r="T5" s="48" t="s">
        <v>31</v>
      </c>
    </row>
    <row r="6" spans="1:20" ht="17.25" customHeight="1">
      <c r="A6" s="33"/>
      <c r="B6" s="29" t="s">
        <v>14</v>
      </c>
      <c r="C6" s="51" t="s">
        <v>45</v>
      </c>
      <c r="D6" s="29" t="s">
        <v>17</v>
      </c>
      <c r="E6" s="37" t="s">
        <v>18</v>
      </c>
      <c r="F6" s="38"/>
      <c r="G6" s="39"/>
      <c r="H6" s="33" t="s">
        <v>19</v>
      </c>
      <c r="I6" s="34" t="s">
        <v>15</v>
      </c>
      <c r="J6" s="37" t="s">
        <v>20</v>
      </c>
      <c r="K6" s="38"/>
      <c r="L6" s="38"/>
      <c r="M6" s="39"/>
      <c r="N6" s="44"/>
      <c r="O6" s="45"/>
      <c r="P6" s="44"/>
      <c r="Q6" s="47"/>
      <c r="R6" s="45"/>
      <c r="S6" s="49"/>
      <c r="T6" s="49"/>
    </row>
    <row r="7" spans="1:20" ht="29.25" customHeight="1">
      <c r="A7" s="33"/>
      <c r="B7" s="29"/>
      <c r="C7" s="52"/>
      <c r="D7" s="29"/>
      <c r="E7" s="37" t="s">
        <v>40</v>
      </c>
      <c r="F7" s="38"/>
      <c r="G7" s="39"/>
      <c r="H7" s="33"/>
      <c r="I7" s="35"/>
      <c r="J7" s="33" t="s">
        <v>21</v>
      </c>
      <c r="K7" s="33"/>
      <c r="L7" s="37" t="s">
        <v>22</v>
      </c>
      <c r="M7" s="39"/>
      <c r="N7" s="29" t="s">
        <v>24</v>
      </c>
      <c r="O7" s="29" t="s">
        <v>25</v>
      </c>
      <c r="P7" s="29" t="s">
        <v>26</v>
      </c>
      <c r="Q7" s="29" t="s">
        <v>27</v>
      </c>
      <c r="R7" s="29" t="s">
        <v>28</v>
      </c>
      <c r="S7" s="49"/>
      <c r="T7" s="49"/>
    </row>
    <row r="8" spans="1:20" ht="68.25" customHeight="1">
      <c r="A8" s="33"/>
      <c r="B8" s="29"/>
      <c r="C8" s="53"/>
      <c r="D8" s="29"/>
      <c r="E8" s="21" t="s">
        <v>34</v>
      </c>
      <c r="F8" s="21" t="s">
        <v>35</v>
      </c>
      <c r="G8" s="21" t="s">
        <v>36</v>
      </c>
      <c r="H8" s="33"/>
      <c r="I8" s="36"/>
      <c r="J8" s="21" t="s">
        <v>18</v>
      </c>
      <c r="K8" s="20" t="s">
        <v>23</v>
      </c>
      <c r="L8" s="21" t="s">
        <v>18</v>
      </c>
      <c r="M8" s="20" t="s">
        <v>23</v>
      </c>
      <c r="N8" s="29"/>
      <c r="O8" s="29"/>
      <c r="P8" s="29"/>
      <c r="Q8" s="29"/>
      <c r="R8" s="29"/>
      <c r="S8" s="50"/>
      <c r="T8" s="50"/>
    </row>
    <row r="9" spans="1:20" ht="12.75" customHeight="1">
      <c r="A9" s="19">
        <v>1</v>
      </c>
      <c r="B9" s="19">
        <v>2</v>
      </c>
      <c r="C9" s="19">
        <v>3</v>
      </c>
      <c r="D9" s="19">
        <v>4</v>
      </c>
      <c r="E9" s="19" t="s">
        <v>37</v>
      </c>
      <c r="F9" s="19" t="s">
        <v>38</v>
      </c>
      <c r="G9" s="19" t="s">
        <v>39</v>
      </c>
      <c r="H9" s="19" t="s">
        <v>41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22">
        <v>11</v>
      </c>
      <c r="O9" s="19">
        <v>12</v>
      </c>
      <c r="P9" s="22">
        <v>13</v>
      </c>
      <c r="Q9" s="22">
        <v>14</v>
      </c>
      <c r="R9" s="19">
        <v>15</v>
      </c>
      <c r="S9" s="9">
        <v>16</v>
      </c>
      <c r="T9" s="9">
        <v>17</v>
      </c>
    </row>
    <row r="10" spans="1:20" ht="15" customHeight="1">
      <c r="A10" s="6"/>
      <c r="B10" s="6"/>
      <c r="C10" s="6"/>
      <c r="D10" s="6"/>
      <c r="E10" s="6"/>
      <c r="F10" s="6"/>
      <c r="G10" s="6"/>
      <c r="H10" s="18" t="s">
        <v>32</v>
      </c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17"/>
    </row>
    <row r="11" spans="1:20" ht="15">
      <c r="A11" s="1" t="s">
        <v>1</v>
      </c>
      <c r="B11" s="2">
        <f>12501425-223104</f>
        <v>12278321</v>
      </c>
      <c r="C11" s="2">
        <v>94176</v>
      </c>
      <c r="D11" s="2">
        <f>10516759-94176</f>
        <v>10422583</v>
      </c>
      <c r="E11" s="2">
        <v>38905</v>
      </c>
      <c r="F11" s="2">
        <v>670500</v>
      </c>
      <c r="G11" s="2">
        <v>1052157</v>
      </c>
      <c r="H11" s="2">
        <f>B11-C11-D11</f>
        <v>1761562</v>
      </c>
      <c r="I11" s="10">
        <f>H11/B11*100</f>
        <v>14.346929030443171</v>
      </c>
      <c r="J11" s="2">
        <v>1055889</v>
      </c>
      <c r="K11" s="12">
        <f>J11/B11*100</f>
        <v>8.59962042041416</v>
      </c>
      <c r="L11" s="2">
        <f>H11-J11</f>
        <v>705673</v>
      </c>
      <c r="M11" s="12">
        <f>L11/B11*100</f>
        <v>5.74730861002901</v>
      </c>
      <c r="N11" s="23">
        <v>2.4325</v>
      </c>
      <c r="O11" s="23">
        <v>2.41181</v>
      </c>
      <c r="P11" s="13">
        <f>ROUND(J11*N11,2)</f>
        <v>2568449.99</v>
      </c>
      <c r="Q11" s="28">
        <f>ROUND(L11*O11,4)</f>
        <v>1701949.1981</v>
      </c>
      <c r="R11" s="3">
        <f>P11+Q11</f>
        <v>4270399.1881</v>
      </c>
      <c r="S11" s="14">
        <f>R11*1.2</f>
        <v>5124479.025719999</v>
      </c>
      <c r="T11" s="30" t="s">
        <v>43</v>
      </c>
    </row>
    <row r="12" spans="1:20" ht="14.25" customHeight="1">
      <c r="A12" s="1" t="s">
        <v>2</v>
      </c>
      <c r="B12" s="2">
        <f>11273577-201147</f>
        <v>11072430</v>
      </c>
      <c r="C12" s="2">
        <v>97948</v>
      </c>
      <c r="D12" s="2">
        <f>10172594-97948</f>
        <v>10074646</v>
      </c>
      <c r="E12" s="2">
        <v>35007</v>
      </c>
      <c r="F12" s="2">
        <v>374748</v>
      </c>
      <c r="G12" s="2">
        <v>490081</v>
      </c>
      <c r="H12" s="2">
        <f aca="true" t="shared" si="0" ref="H12:H22">B12-C12-D12</f>
        <v>899836</v>
      </c>
      <c r="I12" s="10">
        <f aca="true" t="shared" si="1" ref="I12:I22">H12/B12*100</f>
        <v>8.126815884137448</v>
      </c>
      <c r="J12" s="2">
        <v>899836</v>
      </c>
      <c r="K12" s="12">
        <f aca="true" t="shared" si="2" ref="K12:K22">J12/B12*100</f>
        <v>8.126815884137448</v>
      </c>
      <c r="L12" s="2">
        <f aca="true" t="shared" si="3" ref="L12:L22">H12-J12</f>
        <v>0</v>
      </c>
      <c r="M12" s="12">
        <f aca="true" t="shared" si="4" ref="M12:M22">L12/B12*100</f>
        <v>0</v>
      </c>
      <c r="N12" s="23">
        <v>2.47763</v>
      </c>
      <c r="O12" s="23">
        <v>2.45694</v>
      </c>
      <c r="P12" s="13">
        <f>ROUND(J12*N12,2)</f>
        <v>2229460.67</v>
      </c>
      <c r="Q12" s="13">
        <f>ROUND(L12*O12,2)</f>
        <v>0</v>
      </c>
      <c r="R12" s="3">
        <f aca="true" t="shared" si="5" ref="R12:R22">P12+Q12</f>
        <v>2229460.67</v>
      </c>
      <c r="S12" s="14">
        <f>ROUNDDOWN(R12*1.2,2)</f>
        <v>2675352.8</v>
      </c>
      <c r="T12" s="31"/>
    </row>
    <row r="13" spans="1:20" ht="15">
      <c r="A13" s="1" t="s">
        <v>3</v>
      </c>
      <c r="B13" s="2">
        <f>11271859-198259</f>
        <v>11073600</v>
      </c>
      <c r="C13" s="2">
        <v>81357</v>
      </c>
      <c r="D13" s="2">
        <f>9321860-81357</f>
        <v>9240503</v>
      </c>
      <c r="E13" s="2">
        <v>35428</v>
      </c>
      <c r="F13" s="2">
        <v>650000</v>
      </c>
      <c r="G13" s="2">
        <v>1066312</v>
      </c>
      <c r="H13" s="2">
        <f t="shared" si="0"/>
        <v>1751740</v>
      </c>
      <c r="I13" s="10">
        <f t="shared" si="1"/>
        <v>15.819065163993642</v>
      </c>
      <c r="J13" s="25">
        <v>957100</v>
      </c>
      <c r="K13" s="12">
        <f t="shared" si="2"/>
        <v>8.643079034821557</v>
      </c>
      <c r="L13" s="2">
        <f>H13-J13</f>
        <v>794640</v>
      </c>
      <c r="M13" s="12">
        <f t="shared" si="4"/>
        <v>7.175986129172085</v>
      </c>
      <c r="N13" s="23">
        <v>2.35476</v>
      </c>
      <c r="O13" s="23">
        <v>2.33407</v>
      </c>
      <c r="P13" s="13">
        <f>ROUND(J13*N13,2)</f>
        <v>2253740.8</v>
      </c>
      <c r="Q13" s="13">
        <f>ROUND(L13*O13,2)</f>
        <v>1854745.38</v>
      </c>
      <c r="R13" s="3">
        <f t="shared" si="5"/>
        <v>4108486.1799999997</v>
      </c>
      <c r="S13" s="14">
        <f>R13*1.2</f>
        <v>4930183.415999999</v>
      </c>
      <c r="T13" s="31"/>
    </row>
    <row r="14" spans="1:20" ht="15" customHeight="1">
      <c r="A14" s="1" t="s">
        <v>4</v>
      </c>
      <c r="B14" s="2">
        <f>9378799-172104</f>
        <v>9206695</v>
      </c>
      <c r="C14" s="2">
        <v>59701</v>
      </c>
      <c r="D14" s="2">
        <f>8398781-59701</f>
        <v>8339080</v>
      </c>
      <c r="E14" s="2">
        <v>29218</v>
      </c>
      <c r="F14" s="2">
        <v>359995</v>
      </c>
      <c r="G14" s="2">
        <v>418701</v>
      </c>
      <c r="H14" s="2">
        <f t="shared" si="0"/>
        <v>807914</v>
      </c>
      <c r="I14" s="10">
        <f t="shared" si="1"/>
        <v>8.77528798336428</v>
      </c>
      <c r="J14" s="25">
        <v>807914</v>
      </c>
      <c r="K14" s="12">
        <f t="shared" si="2"/>
        <v>8.77528798336428</v>
      </c>
      <c r="L14" s="2">
        <f t="shared" si="3"/>
        <v>0</v>
      </c>
      <c r="M14" s="12">
        <f t="shared" si="4"/>
        <v>0</v>
      </c>
      <c r="N14" s="23">
        <v>2.41123</v>
      </c>
      <c r="O14" s="23">
        <v>2.39054</v>
      </c>
      <c r="P14" s="13">
        <f aca="true" t="shared" si="6" ref="P14:P22">ROUND(J14*N14,2)</f>
        <v>1948066.47</v>
      </c>
      <c r="Q14" s="13">
        <f aca="true" t="shared" si="7" ref="Q14:Q22">ROUND(L14*O14,2)</f>
        <v>0</v>
      </c>
      <c r="R14" s="3">
        <f t="shared" si="5"/>
        <v>1948066.47</v>
      </c>
      <c r="S14" s="14">
        <f>R14*1.2</f>
        <v>2337679.764</v>
      </c>
      <c r="T14" s="31"/>
    </row>
    <row r="15" spans="1:20" ht="15">
      <c r="A15" s="1" t="s">
        <v>5</v>
      </c>
      <c r="B15" s="2">
        <v>8548304</v>
      </c>
      <c r="C15" s="2">
        <v>43372</v>
      </c>
      <c r="D15" s="2">
        <f>7395658-43372</f>
        <v>7352286</v>
      </c>
      <c r="E15" s="2">
        <v>27011</v>
      </c>
      <c r="F15" s="2">
        <v>420383</v>
      </c>
      <c r="G15" s="2">
        <v>705252</v>
      </c>
      <c r="H15" s="2">
        <f t="shared" si="0"/>
        <v>1152646</v>
      </c>
      <c r="I15" s="10">
        <f t="shared" si="1"/>
        <v>13.483914470051603</v>
      </c>
      <c r="J15" s="25">
        <v>733434</v>
      </c>
      <c r="K15" s="12">
        <f t="shared" si="2"/>
        <v>8.579877365147519</v>
      </c>
      <c r="L15" s="2">
        <f t="shared" si="3"/>
        <v>419212</v>
      </c>
      <c r="M15" s="12">
        <f t="shared" si="4"/>
        <v>4.904037104904084</v>
      </c>
      <c r="N15" s="23">
        <v>2.23562</v>
      </c>
      <c r="O15" s="23">
        <v>2.21493</v>
      </c>
      <c r="P15" s="13">
        <f t="shared" si="6"/>
        <v>1639679.72</v>
      </c>
      <c r="Q15" s="13">
        <f t="shared" si="7"/>
        <v>928525.24</v>
      </c>
      <c r="R15" s="3">
        <f>P15+Q15</f>
        <v>2568204.96</v>
      </c>
      <c r="S15" s="14">
        <f aca="true" t="shared" si="8" ref="S15:S22">R15*1.2</f>
        <v>3081845.952</v>
      </c>
      <c r="T15" s="31"/>
    </row>
    <row r="16" spans="1:20" ht="15">
      <c r="A16" s="1" t="s">
        <v>6</v>
      </c>
      <c r="B16" s="2">
        <v>7227853</v>
      </c>
      <c r="C16" s="2">
        <v>18906</v>
      </c>
      <c r="D16" s="2">
        <f>6936621-18906</f>
        <v>6917715</v>
      </c>
      <c r="E16" s="2">
        <v>23243</v>
      </c>
      <c r="F16" s="2">
        <v>185104</v>
      </c>
      <c r="G16" s="2">
        <v>82885</v>
      </c>
      <c r="H16" s="2">
        <f t="shared" si="0"/>
        <v>291232</v>
      </c>
      <c r="I16" s="10">
        <f t="shared" si="1"/>
        <v>4.029301647391002</v>
      </c>
      <c r="J16" s="25">
        <v>291232</v>
      </c>
      <c r="K16" s="12">
        <f t="shared" si="2"/>
        <v>4.029301647391002</v>
      </c>
      <c r="L16" s="2">
        <f>H16-J16</f>
        <v>0</v>
      </c>
      <c r="M16" s="12">
        <f t="shared" si="4"/>
        <v>0</v>
      </c>
      <c r="N16" s="23">
        <v>2.30975</v>
      </c>
      <c r="O16" s="23">
        <v>2.28906</v>
      </c>
      <c r="P16" s="13">
        <f t="shared" si="6"/>
        <v>672673.11</v>
      </c>
      <c r="Q16" s="13">
        <f t="shared" si="7"/>
        <v>0</v>
      </c>
      <c r="R16" s="3">
        <f t="shared" si="5"/>
        <v>672673.11</v>
      </c>
      <c r="S16" s="14">
        <f t="shared" si="8"/>
        <v>807207.732</v>
      </c>
      <c r="T16" s="31"/>
    </row>
    <row r="17" spans="1:22" ht="15">
      <c r="A17" s="1" t="s">
        <v>7</v>
      </c>
      <c r="B17" s="2">
        <v>7645590</v>
      </c>
      <c r="C17" s="2">
        <v>13913</v>
      </c>
      <c r="D17" s="2">
        <f>6183620-13913</f>
        <v>6169707</v>
      </c>
      <c r="E17" s="2">
        <v>24504</v>
      </c>
      <c r="F17" s="2">
        <v>490955</v>
      </c>
      <c r="G17" s="2">
        <v>946511</v>
      </c>
      <c r="H17" s="2">
        <f t="shared" si="0"/>
        <v>1461970</v>
      </c>
      <c r="I17" s="10">
        <f t="shared" si="1"/>
        <v>19.121742076151087</v>
      </c>
      <c r="J17" s="25">
        <v>801754</v>
      </c>
      <c r="K17" s="12">
        <f t="shared" si="2"/>
        <v>10.486489597271106</v>
      </c>
      <c r="L17" s="2">
        <f t="shared" si="3"/>
        <v>660216</v>
      </c>
      <c r="M17" s="12">
        <f t="shared" si="4"/>
        <v>8.635252478879982</v>
      </c>
      <c r="N17" s="23">
        <v>2.58949</v>
      </c>
      <c r="O17" s="23">
        <v>2.29896</v>
      </c>
      <c r="P17" s="13">
        <f t="shared" si="6"/>
        <v>2076133.97</v>
      </c>
      <c r="Q17" s="13">
        <f t="shared" si="7"/>
        <v>1517810.18</v>
      </c>
      <c r="R17" s="3">
        <f t="shared" si="5"/>
        <v>3593944.15</v>
      </c>
      <c r="S17" s="14">
        <f t="shared" si="8"/>
        <v>4312732.9799999995</v>
      </c>
      <c r="T17" s="31"/>
      <c r="V17" s="15"/>
    </row>
    <row r="18" spans="1:20" ht="15" customHeight="1">
      <c r="A18" s="1" t="s">
        <v>8</v>
      </c>
      <c r="B18" s="2">
        <v>9086055</v>
      </c>
      <c r="C18" s="2">
        <v>24486</v>
      </c>
      <c r="D18" s="2">
        <f>7999438-24486</f>
        <v>7974952</v>
      </c>
      <c r="E18" s="2">
        <v>30239</v>
      </c>
      <c r="F18" s="2">
        <v>405924</v>
      </c>
      <c r="G18" s="2">
        <v>650454</v>
      </c>
      <c r="H18" s="2">
        <f t="shared" si="0"/>
        <v>1086617</v>
      </c>
      <c r="I18" s="10">
        <f t="shared" si="1"/>
        <v>11.959172600209882</v>
      </c>
      <c r="J18" s="25">
        <v>928202</v>
      </c>
      <c r="K18" s="12">
        <f t="shared" si="2"/>
        <v>10.215676660552903</v>
      </c>
      <c r="L18" s="2">
        <f t="shared" si="3"/>
        <v>158415</v>
      </c>
      <c r="M18" s="12">
        <f t="shared" si="4"/>
        <v>1.7434959396569798</v>
      </c>
      <c r="N18" s="23">
        <v>2.78346</v>
      </c>
      <c r="O18" s="23">
        <v>2.49293</v>
      </c>
      <c r="P18" s="13">
        <f t="shared" si="6"/>
        <v>2583613.14</v>
      </c>
      <c r="Q18" s="13">
        <f t="shared" si="7"/>
        <v>394917.51</v>
      </c>
      <c r="R18" s="3">
        <f t="shared" si="5"/>
        <v>2978530.6500000004</v>
      </c>
      <c r="S18" s="14">
        <f>FLOOR(R18*1.2,0.01)</f>
        <v>3574236.7800000003</v>
      </c>
      <c r="T18" s="31"/>
    </row>
    <row r="19" spans="1:20" ht="15">
      <c r="A19" s="1" t="s">
        <v>9</v>
      </c>
      <c r="B19" s="2">
        <v>8835311</v>
      </c>
      <c r="C19" s="2">
        <v>38991</v>
      </c>
      <c r="D19" s="2">
        <f>8536987-36753-2238</f>
        <v>8497996</v>
      </c>
      <c r="E19" s="2">
        <v>1664</v>
      </c>
      <c r="F19" s="2">
        <v>150635</v>
      </c>
      <c r="G19" s="2">
        <v>146025</v>
      </c>
      <c r="H19" s="2">
        <f t="shared" si="0"/>
        <v>298324</v>
      </c>
      <c r="I19" s="10">
        <f t="shared" si="1"/>
        <v>3.376496877133131</v>
      </c>
      <c r="J19" s="25">
        <v>298324</v>
      </c>
      <c r="K19" s="12">
        <f t="shared" si="2"/>
        <v>3.376496877133131</v>
      </c>
      <c r="L19" s="2">
        <f t="shared" si="3"/>
        <v>0</v>
      </c>
      <c r="M19" s="12">
        <f t="shared" si="4"/>
        <v>0</v>
      </c>
      <c r="N19" s="23">
        <v>2.86213</v>
      </c>
      <c r="O19" s="23">
        <v>2.5716</v>
      </c>
      <c r="P19" s="13">
        <f t="shared" si="6"/>
        <v>853842.07</v>
      </c>
      <c r="Q19" s="13">
        <f t="shared" si="7"/>
        <v>0</v>
      </c>
      <c r="R19" s="3">
        <f t="shared" si="5"/>
        <v>853842.07</v>
      </c>
      <c r="S19" s="14">
        <f t="shared" si="8"/>
        <v>1024610.4839999999</v>
      </c>
      <c r="T19" s="31"/>
    </row>
    <row r="20" spans="1:20" ht="15">
      <c r="A20" s="1" t="s">
        <v>10</v>
      </c>
      <c r="B20" s="2">
        <v>9918889</v>
      </c>
      <c r="C20" s="2">
        <v>50842</v>
      </c>
      <c r="D20" s="2">
        <f>8162965-50842</f>
        <v>8112123</v>
      </c>
      <c r="E20" s="2">
        <v>31348</v>
      </c>
      <c r="F20" s="2">
        <v>540178</v>
      </c>
      <c r="G20" s="2">
        <v>1184398</v>
      </c>
      <c r="H20" s="2">
        <f t="shared" si="0"/>
        <v>1755924</v>
      </c>
      <c r="I20" s="10">
        <f t="shared" si="1"/>
        <v>17.702829419706177</v>
      </c>
      <c r="J20" s="25">
        <v>941973</v>
      </c>
      <c r="K20" s="12">
        <f t="shared" si="2"/>
        <v>9.49675916324903</v>
      </c>
      <c r="L20" s="2">
        <f t="shared" si="3"/>
        <v>813951</v>
      </c>
      <c r="M20" s="12">
        <f t="shared" si="4"/>
        <v>8.20607025645715</v>
      </c>
      <c r="N20" s="23">
        <v>2.90496</v>
      </c>
      <c r="O20" s="23">
        <v>2.61443</v>
      </c>
      <c r="P20" s="13">
        <f t="shared" si="6"/>
        <v>2736393.89</v>
      </c>
      <c r="Q20" s="13">
        <f t="shared" si="7"/>
        <v>2128017.91</v>
      </c>
      <c r="R20" s="3">
        <f t="shared" si="5"/>
        <v>4864411.800000001</v>
      </c>
      <c r="S20" s="14">
        <f t="shared" si="8"/>
        <v>5837294.160000001</v>
      </c>
      <c r="T20" s="31"/>
    </row>
    <row r="21" spans="1:20" ht="15">
      <c r="A21" s="1" t="s">
        <v>11</v>
      </c>
      <c r="B21" s="2">
        <v>10977098</v>
      </c>
      <c r="C21" s="2">
        <v>100645</v>
      </c>
      <c r="D21" s="2">
        <f>9782586-100645</f>
        <v>9681941</v>
      </c>
      <c r="E21" s="2">
        <v>34724</v>
      </c>
      <c r="F21" s="2">
        <v>401942</v>
      </c>
      <c r="G21" s="2">
        <v>757846</v>
      </c>
      <c r="H21" s="2">
        <f t="shared" si="0"/>
        <v>1194512</v>
      </c>
      <c r="I21" s="10">
        <f t="shared" si="1"/>
        <v>10.881856024242472</v>
      </c>
      <c r="J21" s="25">
        <v>1019795</v>
      </c>
      <c r="K21" s="12">
        <f t="shared" si="2"/>
        <v>9.290205844932785</v>
      </c>
      <c r="L21" s="2">
        <f t="shared" si="3"/>
        <v>174717</v>
      </c>
      <c r="M21" s="12">
        <f t="shared" si="4"/>
        <v>1.5916501793096867</v>
      </c>
      <c r="N21" s="23">
        <v>2.89807</v>
      </c>
      <c r="O21" s="23">
        <v>2.60754</v>
      </c>
      <c r="P21" s="13">
        <f t="shared" si="6"/>
        <v>2955437.3</v>
      </c>
      <c r="Q21" s="13">
        <f t="shared" si="7"/>
        <v>455581.57</v>
      </c>
      <c r="R21" s="3">
        <f t="shared" si="5"/>
        <v>3411018.8699999996</v>
      </c>
      <c r="S21" s="14">
        <f>FLOOR(R21*1.2,0.01)</f>
        <v>4093222.64</v>
      </c>
      <c r="T21" s="31"/>
    </row>
    <row r="22" spans="1:20" ht="15" customHeight="1">
      <c r="A22" s="1" t="s">
        <v>12</v>
      </c>
      <c r="B22" s="2">
        <f>12935591-221179</f>
        <v>12714412</v>
      </c>
      <c r="C22" s="2">
        <v>115479</v>
      </c>
      <c r="D22" s="2">
        <f>10403389-115479</f>
        <v>10287910</v>
      </c>
      <c r="E22" s="2">
        <v>39994</v>
      </c>
      <c r="F22" s="2">
        <v>749114</v>
      </c>
      <c r="G22" s="2">
        <v>1521915</v>
      </c>
      <c r="H22" s="2">
        <f t="shared" si="0"/>
        <v>2311023</v>
      </c>
      <c r="I22" s="10">
        <f t="shared" si="1"/>
        <v>18.17640485458549</v>
      </c>
      <c r="J22" s="25">
        <v>1070258</v>
      </c>
      <c r="K22" s="12">
        <f t="shared" si="2"/>
        <v>8.417675941286157</v>
      </c>
      <c r="L22" s="2">
        <f t="shared" si="3"/>
        <v>1240765</v>
      </c>
      <c r="M22" s="12">
        <f t="shared" si="4"/>
        <v>9.758728913299333</v>
      </c>
      <c r="N22" s="23">
        <v>2.73028</v>
      </c>
      <c r="O22" s="23">
        <v>2.43975</v>
      </c>
      <c r="P22" s="13">
        <f t="shared" si="6"/>
        <v>2922104.01</v>
      </c>
      <c r="Q22" s="13">
        <f t="shared" si="7"/>
        <v>3027156.41</v>
      </c>
      <c r="R22" s="3">
        <f t="shared" si="5"/>
        <v>5949260.42</v>
      </c>
      <c r="S22" s="14">
        <f t="shared" si="8"/>
        <v>7139112.504</v>
      </c>
      <c r="T22" s="32"/>
    </row>
    <row r="23" spans="1:20" ht="20.25" customHeight="1">
      <c r="A23" s="4" t="s">
        <v>16</v>
      </c>
      <c r="B23" s="5">
        <f aca="true" t="shared" si="9" ref="B23:H23">SUM(B11:B22)</f>
        <v>118584558</v>
      </c>
      <c r="C23" s="5">
        <f t="shared" si="9"/>
        <v>739816</v>
      </c>
      <c r="D23" s="5">
        <f t="shared" si="9"/>
        <v>103071442</v>
      </c>
      <c r="E23" s="5">
        <f t="shared" si="9"/>
        <v>351285</v>
      </c>
      <c r="F23" s="5">
        <f t="shared" si="9"/>
        <v>5399478</v>
      </c>
      <c r="G23" s="5">
        <f t="shared" si="9"/>
        <v>9022537</v>
      </c>
      <c r="H23" s="5">
        <f t="shared" si="9"/>
        <v>14773300</v>
      </c>
      <c r="I23" s="11">
        <f>H23/B23*100</f>
        <v>12.458030159373703</v>
      </c>
      <c r="J23" s="5">
        <f>SUM(J11:J22)</f>
        <v>9805711</v>
      </c>
      <c r="K23" s="8">
        <f>J23/B23*100</f>
        <v>8.26896112392644</v>
      </c>
      <c r="L23" s="5">
        <f>SUM(L11:L22)</f>
        <v>4967589</v>
      </c>
      <c r="M23" s="8">
        <f>L23/B23*100</f>
        <v>4.189069035447263</v>
      </c>
      <c r="N23" s="24">
        <f>P23/J23</f>
        <v>2.594365175559427</v>
      </c>
      <c r="O23" s="24">
        <f>Q23/L23</f>
        <v>2.417410820037648</v>
      </c>
      <c r="P23" s="16">
        <f>SUM(P11:P22)</f>
        <v>25439595.14</v>
      </c>
      <c r="Q23" s="16">
        <f>SUM(Q11:Q22)</f>
        <v>12008703.3981</v>
      </c>
      <c r="R23" s="16">
        <f>SUM(R11:R22)</f>
        <v>37448298.538100004</v>
      </c>
      <c r="S23" s="16">
        <f>SUM(S11:S22)</f>
        <v>44937958.237720005</v>
      </c>
      <c r="T23" s="16"/>
    </row>
    <row r="24" ht="15">
      <c r="R24" s="26">
        <f>R23/H23</f>
        <v>2.5348634724875283</v>
      </c>
    </row>
    <row r="25" spans="1:20" ht="18.75" customHeight="1">
      <c r="A25" s="33" t="s">
        <v>0</v>
      </c>
      <c r="B25" s="40" t="s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 t="s">
        <v>29</v>
      </c>
      <c r="O25" s="43"/>
      <c r="P25" s="42" t="s">
        <v>44</v>
      </c>
      <c r="Q25" s="46"/>
      <c r="R25" s="43"/>
      <c r="S25" s="48" t="s">
        <v>30</v>
      </c>
      <c r="T25" s="48" t="s">
        <v>31</v>
      </c>
    </row>
    <row r="26" spans="1:20" ht="17.25" customHeight="1">
      <c r="A26" s="33"/>
      <c r="B26" s="29" t="s">
        <v>14</v>
      </c>
      <c r="C26" s="51" t="s">
        <v>45</v>
      </c>
      <c r="D26" s="29" t="s">
        <v>17</v>
      </c>
      <c r="E26" s="37" t="s">
        <v>18</v>
      </c>
      <c r="F26" s="38"/>
      <c r="G26" s="39"/>
      <c r="H26" s="33" t="s">
        <v>19</v>
      </c>
      <c r="I26" s="34" t="s">
        <v>15</v>
      </c>
      <c r="J26" s="37" t="s">
        <v>20</v>
      </c>
      <c r="K26" s="38"/>
      <c r="L26" s="38"/>
      <c r="M26" s="39"/>
      <c r="N26" s="44"/>
      <c r="O26" s="45"/>
      <c r="P26" s="44"/>
      <c r="Q26" s="47"/>
      <c r="R26" s="45"/>
      <c r="S26" s="49"/>
      <c r="T26" s="49"/>
    </row>
    <row r="27" spans="1:20" ht="29.25" customHeight="1">
      <c r="A27" s="33"/>
      <c r="B27" s="29"/>
      <c r="C27" s="52"/>
      <c r="D27" s="29"/>
      <c r="E27" s="37" t="s">
        <v>40</v>
      </c>
      <c r="F27" s="38"/>
      <c r="G27" s="39"/>
      <c r="H27" s="33"/>
      <c r="I27" s="35"/>
      <c r="J27" s="33" t="s">
        <v>21</v>
      </c>
      <c r="K27" s="33"/>
      <c r="L27" s="37" t="s">
        <v>22</v>
      </c>
      <c r="M27" s="39"/>
      <c r="N27" s="29" t="s">
        <v>24</v>
      </c>
      <c r="O27" s="29" t="s">
        <v>25</v>
      </c>
      <c r="P27" s="29" t="s">
        <v>26</v>
      </c>
      <c r="Q27" s="29" t="s">
        <v>27</v>
      </c>
      <c r="R27" s="29" t="s">
        <v>28</v>
      </c>
      <c r="S27" s="49"/>
      <c r="T27" s="49"/>
    </row>
    <row r="28" spans="1:20" ht="68.25" customHeight="1">
      <c r="A28" s="33"/>
      <c r="B28" s="29"/>
      <c r="C28" s="53"/>
      <c r="D28" s="29"/>
      <c r="E28" s="21" t="s">
        <v>34</v>
      </c>
      <c r="F28" s="21" t="s">
        <v>35</v>
      </c>
      <c r="G28" s="21" t="s">
        <v>36</v>
      </c>
      <c r="H28" s="33"/>
      <c r="I28" s="36"/>
      <c r="J28" s="21" t="s">
        <v>18</v>
      </c>
      <c r="K28" s="20" t="s">
        <v>23</v>
      </c>
      <c r="L28" s="21" t="s">
        <v>18</v>
      </c>
      <c r="M28" s="20" t="s">
        <v>23</v>
      </c>
      <c r="N28" s="29"/>
      <c r="O28" s="29"/>
      <c r="P28" s="29"/>
      <c r="Q28" s="29"/>
      <c r="R28" s="29"/>
      <c r="S28" s="50"/>
      <c r="T28" s="50"/>
    </row>
    <row r="29" spans="1:20" ht="12.75" customHeight="1">
      <c r="A29" s="19">
        <v>1</v>
      </c>
      <c r="B29" s="19">
        <v>2</v>
      </c>
      <c r="C29" s="19">
        <v>3</v>
      </c>
      <c r="D29" s="19">
        <v>4</v>
      </c>
      <c r="E29" s="19" t="s">
        <v>37</v>
      </c>
      <c r="F29" s="19" t="s">
        <v>38</v>
      </c>
      <c r="G29" s="19" t="s">
        <v>39</v>
      </c>
      <c r="H29" s="19" t="s">
        <v>41</v>
      </c>
      <c r="I29" s="19">
        <v>6</v>
      </c>
      <c r="J29" s="19">
        <v>7</v>
      </c>
      <c r="K29" s="19">
        <v>8</v>
      </c>
      <c r="L29" s="19">
        <v>9</v>
      </c>
      <c r="M29" s="19">
        <v>10</v>
      </c>
      <c r="N29" s="22">
        <v>11</v>
      </c>
      <c r="O29" s="19">
        <v>12</v>
      </c>
      <c r="P29" s="22">
        <v>13</v>
      </c>
      <c r="Q29" s="22">
        <v>14</v>
      </c>
      <c r="R29" s="19">
        <v>15</v>
      </c>
      <c r="S29" s="9">
        <v>16</v>
      </c>
      <c r="T29" s="9">
        <v>17</v>
      </c>
    </row>
    <row r="30" spans="1:20" ht="15" customHeight="1">
      <c r="A30" s="6"/>
      <c r="B30" s="6"/>
      <c r="C30" s="6"/>
      <c r="D30" s="6"/>
      <c r="E30" s="6"/>
      <c r="F30" s="6"/>
      <c r="G30" s="6"/>
      <c r="H30" s="18" t="s">
        <v>32</v>
      </c>
      <c r="I30" s="6"/>
      <c r="J30" s="6"/>
      <c r="K30" s="6"/>
      <c r="L30" s="6"/>
      <c r="M30" s="6"/>
      <c r="N30" s="7"/>
      <c r="O30" s="6"/>
      <c r="P30" s="7"/>
      <c r="Q30" s="7"/>
      <c r="R30" s="6"/>
      <c r="S30" s="1"/>
      <c r="T30" s="17"/>
    </row>
    <row r="31" spans="1:20" ht="15">
      <c r="A31" s="1" t="s">
        <v>1</v>
      </c>
      <c r="B31" s="2">
        <v>4037331</v>
      </c>
      <c r="C31" s="2"/>
      <c r="D31" s="2">
        <f>3814227+208796</f>
        <v>4023023</v>
      </c>
      <c r="E31" s="2">
        <v>14308</v>
      </c>
      <c r="F31" s="2">
        <v>0</v>
      </c>
      <c r="G31" s="2">
        <v>0</v>
      </c>
      <c r="H31" s="2">
        <f>B31-C31-D31</f>
        <v>14308</v>
      </c>
      <c r="I31" s="10">
        <f>H31/B31*100</f>
        <v>0.3543925429943693</v>
      </c>
      <c r="J31" s="2">
        <v>1664</v>
      </c>
      <c r="K31" s="12">
        <f>J31/B31*100</f>
        <v>0.041215347465937274</v>
      </c>
      <c r="L31" s="2">
        <f>H31-J31</f>
        <v>12644</v>
      </c>
      <c r="M31" s="12">
        <f>L31/B31*100</f>
        <v>0.31317719552843204</v>
      </c>
      <c r="N31" s="23">
        <v>2.63113</v>
      </c>
      <c r="O31" s="23">
        <v>2.27675</v>
      </c>
      <c r="P31" s="13">
        <f>ROUND(J31*N31,2)</f>
        <v>4378.2</v>
      </c>
      <c r="Q31" s="13">
        <f>ROUND(L31*O31,2)</f>
        <v>28787.23</v>
      </c>
      <c r="R31" s="3">
        <f>P31+Q31</f>
        <v>33165.43</v>
      </c>
      <c r="S31" s="14">
        <f aca="true" t="shared" si="10" ref="S31:S37">R31*1.2</f>
        <v>39798.515999999996</v>
      </c>
      <c r="T31" s="30" t="s">
        <v>46</v>
      </c>
    </row>
    <row r="32" spans="1:20" ht="14.25" customHeight="1">
      <c r="A32" s="1" t="s">
        <v>2</v>
      </c>
      <c r="B32" s="2">
        <v>3633220</v>
      </c>
      <c r="C32" s="2"/>
      <c r="D32" s="2">
        <f>3432073+188272</f>
        <v>3620345</v>
      </c>
      <c r="E32" s="2">
        <v>12875</v>
      </c>
      <c r="F32" s="2">
        <v>0</v>
      </c>
      <c r="G32" s="2">
        <v>0</v>
      </c>
      <c r="H32" s="2">
        <f aca="true" t="shared" si="11" ref="H32:H42">B32-C32-D32</f>
        <v>12875</v>
      </c>
      <c r="I32" s="10">
        <f aca="true" t="shared" si="12" ref="I32:I42">H32/B32*100</f>
        <v>0.3543688518724437</v>
      </c>
      <c r="J32" s="2">
        <v>1566</v>
      </c>
      <c r="K32" s="12">
        <f aca="true" t="shared" si="13" ref="K32:K42">J32/B32*100</f>
        <v>0.04310226190541723</v>
      </c>
      <c r="L32" s="2">
        <f aca="true" t="shared" si="14" ref="L32:L42">H32-J32</f>
        <v>11309</v>
      </c>
      <c r="M32" s="12">
        <f aca="true" t="shared" si="15" ref="M32:M42">L32/B32*100</f>
        <v>0.3112665899670265</v>
      </c>
      <c r="N32" s="23">
        <v>2.75723</v>
      </c>
      <c r="O32" s="23">
        <v>2.40285</v>
      </c>
      <c r="P32" s="13">
        <f>ROUND(J32*N32,2)</f>
        <v>4317.82</v>
      </c>
      <c r="Q32" s="13">
        <f>ROUND(L32*O32,2)</f>
        <v>27173.83</v>
      </c>
      <c r="R32" s="3">
        <f aca="true" t="shared" si="16" ref="R32:R42">P32+Q32</f>
        <v>31491.65</v>
      </c>
      <c r="S32" s="14">
        <f t="shared" si="10"/>
        <v>37789.98</v>
      </c>
      <c r="T32" s="31"/>
    </row>
    <row r="33" spans="1:20" ht="15">
      <c r="A33" s="1" t="s">
        <v>3</v>
      </c>
      <c r="B33" s="2">
        <v>3671559</v>
      </c>
      <c r="C33" s="2"/>
      <c r="D33" s="2">
        <f>3473300+185244</f>
        <v>3658544</v>
      </c>
      <c r="E33" s="2">
        <v>13015</v>
      </c>
      <c r="F33" s="2">
        <v>0</v>
      </c>
      <c r="G33" s="2">
        <v>0</v>
      </c>
      <c r="H33" s="2">
        <f t="shared" si="11"/>
        <v>13015</v>
      </c>
      <c r="I33" s="10">
        <f t="shared" si="12"/>
        <v>0.35448157036288946</v>
      </c>
      <c r="J33" s="25">
        <v>1486</v>
      </c>
      <c r="K33" s="12">
        <f t="shared" si="13"/>
        <v>0.0404732703464659</v>
      </c>
      <c r="L33" s="2">
        <f t="shared" si="14"/>
        <v>11529</v>
      </c>
      <c r="M33" s="12">
        <f t="shared" si="15"/>
        <v>0.31400830001642355</v>
      </c>
      <c r="N33" s="23">
        <v>2.47438</v>
      </c>
      <c r="O33" s="23">
        <v>2.12</v>
      </c>
      <c r="P33" s="13">
        <f>ROUND(J33*N33,2)</f>
        <v>3676.93</v>
      </c>
      <c r="Q33" s="13">
        <f>ROUND(L33*O33,2)</f>
        <v>24441.48</v>
      </c>
      <c r="R33" s="3">
        <f t="shared" si="16"/>
        <v>28118.41</v>
      </c>
      <c r="S33" s="14">
        <f t="shared" si="10"/>
        <v>33742.092</v>
      </c>
      <c r="T33" s="31"/>
    </row>
    <row r="34" spans="1:20" ht="15" customHeight="1">
      <c r="A34" s="1" t="s">
        <v>4</v>
      </c>
      <c r="B34" s="2">
        <v>3036581</v>
      </c>
      <c r="C34" s="2"/>
      <c r="D34" s="2">
        <f>2864477+161346</f>
        <v>3025823</v>
      </c>
      <c r="E34" s="2">
        <v>10758</v>
      </c>
      <c r="F34" s="2">
        <v>0</v>
      </c>
      <c r="G34" s="2">
        <v>0</v>
      </c>
      <c r="H34" s="2">
        <f t="shared" si="11"/>
        <v>10758</v>
      </c>
      <c r="I34" s="10">
        <f t="shared" si="12"/>
        <v>0.3542800274387543</v>
      </c>
      <c r="J34" s="25">
        <v>1433</v>
      </c>
      <c r="K34" s="12">
        <f t="shared" si="13"/>
        <v>0.047191232507876456</v>
      </c>
      <c r="L34" s="2">
        <f t="shared" si="14"/>
        <v>9325</v>
      </c>
      <c r="M34" s="12">
        <f t="shared" si="15"/>
        <v>0.3070887949308779</v>
      </c>
      <c r="N34" s="23">
        <v>2.68945</v>
      </c>
      <c r="O34" s="23">
        <v>2.33507</v>
      </c>
      <c r="P34" s="13">
        <f aca="true" t="shared" si="17" ref="P34:P42">ROUND(J34*N34,2)</f>
        <v>3853.98</v>
      </c>
      <c r="Q34" s="13">
        <f aca="true" t="shared" si="18" ref="Q34:Q42">ROUND(L34*O34,2)</f>
        <v>21774.53</v>
      </c>
      <c r="R34" s="3">
        <f t="shared" si="16"/>
        <v>25628.51</v>
      </c>
      <c r="S34" s="14">
        <f t="shared" si="10"/>
        <v>30754.211999999996</v>
      </c>
      <c r="T34" s="31"/>
    </row>
    <row r="35" spans="1:20" ht="15">
      <c r="A35" s="1" t="s">
        <v>5</v>
      </c>
      <c r="B35" s="2">
        <f>2784273+9909</f>
        <v>2794182</v>
      </c>
      <c r="C35" s="2"/>
      <c r="D35" s="2">
        <v>2784273</v>
      </c>
      <c r="E35" s="2">
        <v>9909</v>
      </c>
      <c r="F35" s="2">
        <v>0</v>
      </c>
      <c r="G35" s="2">
        <v>0</v>
      </c>
      <c r="H35" s="2">
        <f t="shared" si="11"/>
        <v>9909</v>
      </c>
      <c r="I35" s="10">
        <f t="shared" si="12"/>
        <v>0.35462972705428636</v>
      </c>
      <c r="J35" s="25">
        <v>1077</v>
      </c>
      <c r="K35" s="12">
        <f t="shared" si="13"/>
        <v>0.03854437542006928</v>
      </c>
      <c r="L35" s="2">
        <f t="shared" si="14"/>
        <v>8832</v>
      </c>
      <c r="M35" s="12">
        <f t="shared" si="15"/>
        <v>0.3160853516342171</v>
      </c>
      <c r="N35" s="23">
        <v>2.50512</v>
      </c>
      <c r="O35" s="23">
        <v>2.15074</v>
      </c>
      <c r="P35" s="13">
        <f t="shared" si="17"/>
        <v>2698.01</v>
      </c>
      <c r="Q35" s="13">
        <f t="shared" si="18"/>
        <v>18995.34</v>
      </c>
      <c r="R35" s="3">
        <f t="shared" si="16"/>
        <v>21693.35</v>
      </c>
      <c r="S35" s="14">
        <f t="shared" si="10"/>
        <v>26032.019999999997</v>
      </c>
      <c r="T35" s="31"/>
    </row>
    <row r="36" spans="1:20" ht="15">
      <c r="A36" s="1" t="s">
        <v>6</v>
      </c>
      <c r="B36" s="2">
        <v>2367611</v>
      </c>
      <c r="C36" s="2"/>
      <c r="D36" s="2">
        <f>2278734+80677</f>
        <v>2359411</v>
      </c>
      <c r="E36" s="2">
        <v>8200</v>
      </c>
      <c r="F36" s="2">
        <v>0</v>
      </c>
      <c r="G36" s="2">
        <v>0</v>
      </c>
      <c r="H36" s="2">
        <f t="shared" si="11"/>
        <v>8200</v>
      </c>
      <c r="I36" s="10">
        <f t="shared" si="12"/>
        <v>0.34634067843070504</v>
      </c>
      <c r="J36" s="25">
        <v>775</v>
      </c>
      <c r="K36" s="12">
        <f t="shared" si="13"/>
        <v>0.032733417778511756</v>
      </c>
      <c r="L36" s="2">
        <f t="shared" si="14"/>
        <v>7425</v>
      </c>
      <c r="M36" s="12">
        <f t="shared" si="15"/>
        <v>0.31360726065219324</v>
      </c>
      <c r="N36" s="23">
        <v>2.48064</v>
      </c>
      <c r="O36" s="23">
        <v>2.12626</v>
      </c>
      <c r="P36" s="13">
        <f t="shared" si="17"/>
        <v>1922.5</v>
      </c>
      <c r="Q36" s="13">
        <f t="shared" si="18"/>
        <v>15787.48</v>
      </c>
      <c r="R36" s="3">
        <f t="shared" si="16"/>
        <v>17709.98</v>
      </c>
      <c r="S36" s="14">
        <f t="shared" si="10"/>
        <v>21251.976</v>
      </c>
      <c r="T36" s="31"/>
    </row>
    <row r="37" spans="1:22" ht="15">
      <c r="A37" s="1" t="s">
        <v>7</v>
      </c>
      <c r="B37" s="2">
        <v>2500232</v>
      </c>
      <c r="C37" s="2"/>
      <c r="D37" s="2">
        <f>2402386+88953</f>
        <v>2491339</v>
      </c>
      <c r="E37" s="2">
        <v>8893</v>
      </c>
      <c r="F37" s="2">
        <v>0</v>
      </c>
      <c r="G37" s="2">
        <v>0</v>
      </c>
      <c r="H37" s="2">
        <f t="shared" si="11"/>
        <v>8893</v>
      </c>
      <c r="I37" s="10">
        <f t="shared" si="12"/>
        <v>0.35568699224711947</v>
      </c>
      <c r="J37" s="25">
        <v>774</v>
      </c>
      <c r="K37" s="12">
        <f t="shared" si="13"/>
        <v>0.030957127178597825</v>
      </c>
      <c r="L37" s="2">
        <f t="shared" si="14"/>
        <v>8119</v>
      </c>
      <c r="M37" s="12">
        <f t="shared" si="15"/>
        <v>0.32472986506852164</v>
      </c>
      <c r="N37" s="23">
        <v>2.53153</v>
      </c>
      <c r="O37" s="23">
        <v>2.18927</v>
      </c>
      <c r="P37" s="13">
        <f t="shared" si="17"/>
        <v>1959.4</v>
      </c>
      <c r="Q37" s="13">
        <f t="shared" si="18"/>
        <v>17774.68</v>
      </c>
      <c r="R37" s="3">
        <f t="shared" si="16"/>
        <v>19734.08</v>
      </c>
      <c r="S37" s="14">
        <f t="shared" si="10"/>
        <v>23680.896</v>
      </c>
      <c r="T37" s="31"/>
      <c r="V37" s="15"/>
    </row>
    <row r="38" spans="1:20" ht="15" customHeight="1">
      <c r="A38" s="1" t="s">
        <v>8</v>
      </c>
      <c r="B38" s="2">
        <v>3077320</v>
      </c>
      <c r="C38" s="2"/>
      <c r="D38" s="2">
        <f>2964620+101747</f>
        <v>3066367</v>
      </c>
      <c r="E38" s="2">
        <v>10953</v>
      </c>
      <c r="F38" s="2">
        <v>0</v>
      </c>
      <c r="G38" s="2">
        <v>0</v>
      </c>
      <c r="H38" s="2">
        <v>10953</v>
      </c>
      <c r="I38" s="10">
        <f t="shared" si="12"/>
        <v>0.3559265854704743</v>
      </c>
      <c r="J38" s="25">
        <v>863</v>
      </c>
      <c r="K38" s="12">
        <f t="shared" si="13"/>
        <v>0.028043882339178247</v>
      </c>
      <c r="L38" s="2">
        <f t="shared" si="14"/>
        <v>10090</v>
      </c>
      <c r="M38" s="12">
        <f t="shared" si="15"/>
        <v>0.3278827031312961</v>
      </c>
      <c r="N38" s="23">
        <v>2.67914</v>
      </c>
      <c r="O38" s="23">
        <v>2.33688</v>
      </c>
      <c r="P38" s="13">
        <f t="shared" si="17"/>
        <v>2312.1</v>
      </c>
      <c r="Q38" s="13">
        <f t="shared" si="18"/>
        <v>23579.12</v>
      </c>
      <c r="R38" s="3">
        <f t="shared" si="16"/>
        <v>25891.219999999998</v>
      </c>
      <c r="S38" s="14">
        <f>FLOOR(R38*1.2,0.01)</f>
        <v>31069.46</v>
      </c>
      <c r="T38" s="31"/>
    </row>
    <row r="39" spans="1:20" ht="15">
      <c r="A39" s="1" t="s">
        <v>9</v>
      </c>
      <c r="B39" s="2">
        <f>2729561+139605</f>
        <v>2869166</v>
      </c>
      <c r="C39" s="2"/>
      <c r="D39" s="2">
        <f>2729561+129422</f>
        <v>2858983</v>
      </c>
      <c r="E39" s="2">
        <f>B39-D39</f>
        <v>10183</v>
      </c>
      <c r="F39" s="2">
        <v>0</v>
      </c>
      <c r="G39" s="2">
        <v>0</v>
      </c>
      <c r="H39" s="2">
        <f t="shared" si="11"/>
        <v>10183</v>
      </c>
      <c r="I39" s="10">
        <f t="shared" si="12"/>
        <v>0.35491149692976987</v>
      </c>
      <c r="J39" s="25">
        <v>1077</v>
      </c>
      <c r="K39" s="12">
        <f t="shared" si="13"/>
        <v>0.03753704038037534</v>
      </c>
      <c r="L39" s="2">
        <f t="shared" si="14"/>
        <v>9106</v>
      </c>
      <c r="M39" s="12">
        <f t="shared" si="15"/>
        <v>0.3173744565493945</v>
      </c>
      <c r="N39" s="23">
        <v>2.71001</v>
      </c>
      <c r="O39" s="23">
        <v>2.36775</v>
      </c>
      <c r="P39" s="13">
        <f t="shared" si="17"/>
        <v>2918.68</v>
      </c>
      <c r="Q39" s="13">
        <f t="shared" si="18"/>
        <v>21560.73</v>
      </c>
      <c r="R39" s="3">
        <f t="shared" si="16"/>
        <v>24479.41</v>
      </c>
      <c r="S39" s="14">
        <f>R39*1.2</f>
        <v>29375.291999999998</v>
      </c>
      <c r="T39" s="31"/>
    </row>
    <row r="40" spans="1:20" ht="15">
      <c r="A40" s="1" t="s">
        <v>10</v>
      </c>
      <c r="B40" s="2">
        <v>3240150</v>
      </c>
      <c r="C40" s="2"/>
      <c r="D40" s="2">
        <f>3073348+155309</f>
        <v>3228657</v>
      </c>
      <c r="E40" s="2">
        <v>11493</v>
      </c>
      <c r="F40" s="2">
        <v>0</v>
      </c>
      <c r="G40" s="2">
        <v>0</v>
      </c>
      <c r="H40" s="2">
        <f t="shared" si="11"/>
        <v>11493</v>
      </c>
      <c r="I40" s="10">
        <f t="shared" si="12"/>
        <v>0.354705800657377</v>
      </c>
      <c r="J40" s="25">
        <v>1433</v>
      </c>
      <c r="K40" s="12">
        <f t="shared" si="13"/>
        <v>0.04422634754563832</v>
      </c>
      <c r="L40" s="2">
        <f t="shared" si="14"/>
        <v>10060</v>
      </c>
      <c r="M40" s="12">
        <f t="shared" si="15"/>
        <v>0.3104794531117387</v>
      </c>
      <c r="N40" s="23">
        <v>2.67566</v>
      </c>
      <c r="O40" s="23">
        <v>2.3334</v>
      </c>
      <c r="P40" s="13">
        <f t="shared" si="17"/>
        <v>3834.22</v>
      </c>
      <c r="Q40" s="13">
        <f t="shared" si="18"/>
        <v>23474</v>
      </c>
      <c r="R40" s="3">
        <f t="shared" si="16"/>
        <v>27308.22</v>
      </c>
      <c r="S40" s="14">
        <f>R40*1.2</f>
        <v>32769.864</v>
      </c>
      <c r="T40" s="31"/>
    </row>
    <row r="41" spans="1:20" ht="15">
      <c r="A41" s="1" t="s">
        <v>11</v>
      </c>
      <c r="B41" s="2">
        <v>3606479</v>
      </c>
      <c r="C41" s="2"/>
      <c r="D41" s="2">
        <f>3404356+189344</f>
        <v>3593700</v>
      </c>
      <c r="E41" s="2">
        <v>12779</v>
      </c>
      <c r="F41" s="2">
        <v>0</v>
      </c>
      <c r="G41" s="2">
        <v>0</v>
      </c>
      <c r="H41" s="2">
        <f t="shared" si="11"/>
        <v>12779</v>
      </c>
      <c r="I41" s="10">
        <f t="shared" si="12"/>
        <v>0.35433451851515013</v>
      </c>
      <c r="J41" s="25">
        <v>1442</v>
      </c>
      <c r="K41" s="12">
        <f t="shared" si="13"/>
        <v>0.039983596188969905</v>
      </c>
      <c r="L41" s="2">
        <f t="shared" si="14"/>
        <v>11337</v>
      </c>
      <c r="M41" s="12">
        <f t="shared" si="15"/>
        <v>0.31435092232618017</v>
      </c>
      <c r="N41" s="23">
        <v>2.81314</v>
      </c>
      <c r="O41" s="23">
        <v>2.47088</v>
      </c>
      <c r="P41" s="13">
        <f t="shared" si="17"/>
        <v>4056.55</v>
      </c>
      <c r="Q41" s="13">
        <f t="shared" si="18"/>
        <v>28012.37</v>
      </c>
      <c r="R41" s="3">
        <f t="shared" si="16"/>
        <v>32068.92</v>
      </c>
      <c r="S41" s="14">
        <f>FLOOR(R41*1.2,0.01)</f>
        <v>38482.700000000004</v>
      </c>
      <c r="T41" s="31"/>
    </row>
    <row r="42" spans="1:20" ht="15" customHeight="1">
      <c r="A42" s="1" t="s">
        <v>12</v>
      </c>
      <c r="B42" s="2">
        <v>4142150</v>
      </c>
      <c r="C42" s="2"/>
      <c r="D42" s="2">
        <f>3920971+206493</f>
        <v>4127464</v>
      </c>
      <c r="E42" s="2">
        <v>14686</v>
      </c>
      <c r="F42" s="2">
        <v>0</v>
      </c>
      <c r="G42" s="2">
        <v>0</v>
      </c>
      <c r="H42" s="2">
        <f t="shared" si="11"/>
        <v>14686</v>
      </c>
      <c r="I42" s="10">
        <f t="shared" si="12"/>
        <v>0.3545501732192219</v>
      </c>
      <c r="J42" s="25">
        <v>1487</v>
      </c>
      <c r="K42" s="12">
        <f t="shared" si="13"/>
        <v>0.03589923107564912</v>
      </c>
      <c r="L42" s="2">
        <f t="shared" si="14"/>
        <v>13199</v>
      </c>
      <c r="M42" s="12">
        <f t="shared" si="15"/>
        <v>0.3186509421435728</v>
      </c>
      <c r="N42" s="23">
        <v>2.65244</v>
      </c>
      <c r="O42" s="23">
        <v>2.31018</v>
      </c>
      <c r="P42" s="13">
        <f t="shared" si="17"/>
        <v>3944.18</v>
      </c>
      <c r="Q42" s="13">
        <f t="shared" si="18"/>
        <v>30492.07</v>
      </c>
      <c r="R42" s="3">
        <f t="shared" si="16"/>
        <v>34436.25</v>
      </c>
      <c r="S42" s="14">
        <f>R42*1.2</f>
        <v>41323.5</v>
      </c>
      <c r="T42" s="32"/>
    </row>
    <row r="43" spans="1:20" ht="20.25" customHeight="1">
      <c r="A43" s="4" t="s">
        <v>16</v>
      </c>
      <c r="B43" s="5">
        <f aca="true" t="shared" si="19" ref="B43:H43">SUM(B31:B42)</f>
        <v>38975981</v>
      </c>
      <c r="C43" s="5">
        <f t="shared" si="19"/>
        <v>0</v>
      </c>
      <c r="D43" s="5">
        <f t="shared" si="19"/>
        <v>38837929</v>
      </c>
      <c r="E43" s="5">
        <f t="shared" si="19"/>
        <v>138052</v>
      </c>
      <c r="F43" s="5">
        <f t="shared" si="19"/>
        <v>0</v>
      </c>
      <c r="G43" s="5">
        <f t="shared" si="19"/>
        <v>0</v>
      </c>
      <c r="H43" s="5">
        <f t="shared" si="19"/>
        <v>138052</v>
      </c>
      <c r="I43" s="11">
        <f>H43/B43*100</f>
        <v>0.35419762750807987</v>
      </c>
      <c r="J43" s="5">
        <f>SUM(J31:J42)</f>
        <v>15077</v>
      </c>
      <c r="K43" s="8">
        <f>J43/B43*100</f>
        <v>0.03868279800321126</v>
      </c>
      <c r="L43" s="5">
        <f>SUM(L31:L42)</f>
        <v>122975</v>
      </c>
      <c r="M43" s="8">
        <f>L43/B43*100</f>
        <v>0.31551482950486864</v>
      </c>
      <c r="N43" s="24">
        <f>P43/J43</f>
        <v>2.6445957418584602</v>
      </c>
      <c r="O43" s="24">
        <f>Q43/L43</f>
        <v>2.291952510672901</v>
      </c>
      <c r="P43" s="16">
        <f>SUM(P31:P42)</f>
        <v>39872.57000000001</v>
      </c>
      <c r="Q43" s="16">
        <f>SUM(Q31:Q42)</f>
        <v>281852.86</v>
      </c>
      <c r="R43" s="16">
        <f>SUM(R31:R42)</f>
        <v>321725.43000000005</v>
      </c>
      <c r="S43" s="16">
        <f>SUM(S31:S42)</f>
        <v>386070.508</v>
      </c>
      <c r="T43" s="16"/>
    </row>
    <row r="47" ht="15">
      <c r="R47" s="15"/>
    </row>
  </sheetData>
  <sheetProtection/>
  <mergeCells count="47">
    <mergeCell ref="A1:O1"/>
    <mergeCell ref="A2:S2"/>
    <mergeCell ref="I3:M3"/>
    <mergeCell ref="A5:A8"/>
    <mergeCell ref="B5:M5"/>
    <mergeCell ref="N5:O6"/>
    <mergeCell ref="P5:R6"/>
    <mergeCell ref="J6:M6"/>
    <mergeCell ref="O7:O8"/>
    <mergeCell ref="P7:P8"/>
    <mergeCell ref="B6:B8"/>
    <mergeCell ref="C6:C8"/>
    <mergeCell ref="D6:D8"/>
    <mergeCell ref="H6:H8"/>
    <mergeCell ref="I6:I8"/>
    <mergeCell ref="J7:K7"/>
    <mergeCell ref="E7:G7"/>
    <mergeCell ref="Q7:Q8"/>
    <mergeCell ref="R7:R8"/>
    <mergeCell ref="S5:S8"/>
    <mergeCell ref="E6:G6"/>
    <mergeCell ref="T11:T22"/>
    <mergeCell ref="T5:T8"/>
    <mergeCell ref="L7:M7"/>
    <mergeCell ref="N7:N8"/>
    <mergeCell ref="A25:A28"/>
    <mergeCell ref="B25:M25"/>
    <mergeCell ref="N25:O26"/>
    <mergeCell ref="P25:R26"/>
    <mergeCell ref="S25:S28"/>
    <mergeCell ref="T25:T28"/>
    <mergeCell ref="B26:B28"/>
    <mergeCell ref="C26:C28"/>
    <mergeCell ref="D26:D28"/>
    <mergeCell ref="E26:G26"/>
    <mergeCell ref="H26:H28"/>
    <mergeCell ref="I26:I28"/>
    <mergeCell ref="J26:M26"/>
    <mergeCell ref="E27:G27"/>
    <mergeCell ref="J27:K27"/>
    <mergeCell ref="L27:M27"/>
    <mergeCell ref="N27:N28"/>
    <mergeCell ref="O27:O28"/>
    <mergeCell ref="P27:P28"/>
    <mergeCell ref="Q27:Q28"/>
    <mergeCell ref="R27:R28"/>
    <mergeCell ref="T31:T42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2021-12-03T08:49:09Z</cp:lastPrinted>
  <dcterms:created xsi:type="dcterms:W3CDTF">2009-03-31T06:53:37Z</dcterms:created>
  <dcterms:modified xsi:type="dcterms:W3CDTF">2022-01-13T13:38:37Z</dcterms:modified>
  <cp:category/>
  <cp:version/>
  <cp:contentType/>
  <cp:contentStatus/>
</cp:coreProperties>
</file>