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8 год Приказ 1831-э  " sheetId="8" r:id="rId1"/>
    <sheet name="2017 год Приказ 1831-э " sheetId="7" r:id="rId2"/>
    <sheet name="2016 год Приказ 1831-э" sheetId="6" r:id="rId3"/>
  </sheets>
  <definedNames>
    <definedName name="A1\" localSheetId="1">'2017 год Приказ 1831-э '!$A$644</definedName>
    <definedName name="A1\" localSheetId="0">'2018 год Приказ 1831-э  '!$A$644</definedName>
    <definedName name="A1\">'2016 год Приказ 1831-э'!$A$644</definedName>
    <definedName name="O">'2018 год Приказ 1831-э  '!$OZO$16</definedName>
    <definedName name="А1" localSheetId="1">'2017 год Приказ 1831-э '!$PAH$713</definedName>
    <definedName name="А1" localSheetId="0">'2018 год Приказ 1831-э  '!$PAH$713</definedName>
    <definedName name="А1">'2016 год Приказ 1831-э'!$PAH$713</definedName>
    <definedName name="_xlnm.Print_Area" localSheetId="2">'2016 год Приказ 1831-э'!$A$1:$F$85</definedName>
    <definedName name="_xlnm.Print_Area" localSheetId="1">'2017 год Приказ 1831-э '!$A$1:$F$86</definedName>
    <definedName name="_xlnm.Print_Area" localSheetId="0">'2018 год Приказ 1831-э  '!$A$1:$F$85</definedName>
  </definedNames>
  <calcPr calcId="124519"/>
</workbook>
</file>

<file path=xl/calcChain.xml><?xml version="1.0" encoding="utf-8"?>
<calcChain xmlns="http://schemas.openxmlformats.org/spreadsheetml/2006/main">
  <c r="D48" i="8"/>
  <c r="E34" l="1"/>
  <c r="E50"/>
  <c r="E15"/>
  <c r="E40"/>
  <c r="E29"/>
  <c r="E17"/>
  <c r="E30"/>
  <c r="E31"/>
  <c r="E32"/>
  <c r="E26"/>
  <c r="E33"/>
  <c r="E23"/>
  <c r="E22"/>
  <c r="E16"/>
  <c r="E76"/>
  <c r="E77"/>
  <c r="E75"/>
  <c r="D75"/>
  <c r="D29" l="1"/>
  <c r="D19"/>
  <c r="E71"/>
  <c r="D71"/>
  <c r="E67"/>
  <c r="D67"/>
  <c r="E63"/>
  <c r="D63"/>
  <c r="E62"/>
  <c r="D62"/>
  <c r="E56"/>
  <c r="D56"/>
  <c r="E52"/>
  <c r="D52"/>
  <c r="E37"/>
  <c r="D37"/>
  <c r="D27"/>
  <c r="D24" s="1"/>
  <c r="E27"/>
  <c r="E19"/>
  <c r="E14"/>
  <c r="D14"/>
  <c r="E76" i="7"/>
  <c r="E44"/>
  <c r="E34"/>
  <c r="E16"/>
  <c r="E24" i="8" l="1"/>
  <c r="E13" s="1"/>
  <c r="D13"/>
  <c r="D12" s="1"/>
  <c r="E47" i="7"/>
  <c r="E23"/>
  <c r="E12" i="8" l="1"/>
  <c r="I12" i="7"/>
  <c r="E29"/>
  <c r="E22"/>
  <c r="E19" s="1"/>
  <c r="E50"/>
  <c r="E21"/>
  <c r="E15"/>
  <c r="E32"/>
  <c r="E28"/>
  <c r="E17"/>
  <c r="E26"/>
  <c r="D56" l="1"/>
  <c r="D46"/>
  <c r="D50"/>
  <c r="D29"/>
  <c r="D27" s="1"/>
  <c r="D24" s="1"/>
  <c r="D19"/>
  <c r="D20"/>
  <c r="E71"/>
  <c r="E75" s="1"/>
  <c r="D71"/>
  <c r="D75" s="1"/>
  <c r="E67"/>
  <c r="D67"/>
  <c r="E63"/>
  <c r="D63"/>
  <c r="E62"/>
  <c r="D62"/>
  <c r="E56"/>
  <c r="D52"/>
  <c r="E37"/>
  <c r="E27"/>
  <c r="E24" s="1"/>
  <c r="E52"/>
  <c r="E14"/>
  <c r="D14"/>
  <c r="E34" i="6"/>
  <c r="E29"/>
  <c r="E17"/>
  <c r="E23"/>
  <c r="D37" i="7" l="1"/>
  <c r="E13"/>
  <c r="E12" s="1"/>
  <c r="D13"/>
  <c r="E60" i="6"/>
  <c r="D52"/>
  <c r="E52"/>
  <c r="E44"/>
  <c r="E14"/>
  <c r="E56"/>
  <c r="D56"/>
  <c r="D50"/>
  <c r="E77"/>
  <c r="E76"/>
  <c r="D47"/>
  <c r="D29"/>
  <c r="D25"/>
  <c r="D17"/>
  <c r="D14" s="1"/>
  <c r="D12" i="7" l="1"/>
  <c r="E71" i="6"/>
  <c r="E75" s="1"/>
  <c r="E63"/>
  <c r="E62"/>
  <c r="D62"/>
  <c r="D71"/>
  <c r="D75" s="1"/>
  <c r="D67"/>
  <c r="D63"/>
  <c r="E67"/>
  <c r="E37" l="1"/>
  <c r="D37"/>
  <c r="E27" l="1"/>
  <c r="E24" s="1"/>
  <c r="D27"/>
  <c r="D24" l="1"/>
  <c r="D13" s="1"/>
  <c r="E13"/>
  <c r="E12" s="1"/>
  <c r="D12" l="1"/>
</calcChain>
</file>

<file path=xl/comments1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выполнение подрядным способом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выпадающих доходов  прдварительно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до 15 кВт 87 ( в т.ч. 1 стройка) + 1 стройка  до 150 кВт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79 ед( в  т.ч.  1  стройка) +  1 стр.-ка  до 150 кВт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объекты по инв. программе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учета ГСМ на автотранспорт
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5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отч. на соц. нужды 
</t>
        </r>
      </text>
    </comment>
    <comment ref="D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план - по итогам факт 2016 год</t>
        </r>
      </text>
    </comment>
    <comment ref="E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показатели качества  факт 2017г.</t>
        </r>
      </text>
    </comment>
  </commentList>
</comments>
</file>

<file path=xl/sharedStrings.xml><?xml version="1.0" encoding="utf-8"?>
<sst xmlns="http://schemas.openxmlformats.org/spreadsheetml/2006/main" count="626" uniqueCount="139">
  <si>
    <t>Показатель</t>
  </si>
  <si>
    <t>Примечание</t>
  </si>
  <si>
    <t>1.1.</t>
  </si>
  <si>
    <t>1.1.1.</t>
  </si>
  <si>
    <t>1.1.2.</t>
  </si>
  <si>
    <t>1.1.3.</t>
  </si>
  <si>
    <t>1.2.</t>
  </si>
  <si>
    <t>1.2.1.</t>
  </si>
  <si>
    <t>1.2.2.</t>
  </si>
  <si>
    <t>Фонд оплаты труда</t>
  </si>
  <si>
    <t>отчисления на социальные нужды</t>
  </si>
  <si>
    <t>1.2.3.</t>
  </si>
  <si>
    <t>1.2.4.</t>
  </si>
  <si>
    <t>налог на прибыль</t>
  </si>
  <si>
    <t>1.2.5.</t>
  </si>
  <si>
    <t>прочие налоги</t>
  </si>
  <si>
    <t>1.2.6.</t>
  </si>
  <si>
    <t>1.2.7.</t>
  </si>
  <si>
    <t>N п/п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</si>
  <si>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</si>
  <si>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</si>
  <si>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</si>
  <si>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</si>
  <si>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</si>
  <si>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</si>
  <si>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</si>
  <si>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</si>
  <si>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</si>
  <si>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</si>
  <si>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</si>
  <si>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</si>
  <si>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</si>
  <si>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</si>
  <si>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</si>
  <si>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</si>
  <si>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</si>
  <si>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</si>
  <si>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</si>
  <si>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</si>
  <si>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</si>
  <si>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</si>
  <si>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</si>
  <si>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</si>
  <si>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</si>
  <si>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</si>
  <si>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</si>
  <si>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</si>
  <si>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</si>
  <si>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</si>
  <si>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</si>
  <si>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</si>
  <si>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</si>
  <si>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</si>
  <si>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</si>
  <si>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</si>
  <si>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</si>
  <si>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</si>
  <si>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</si>
  <si>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</si>
  <si>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</si>
  <si>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</si>
  <si>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</si>
  <si>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</si>
  <si>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</si>
  <si>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</si>
  <si>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</si>
  <si>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</si>
  <si>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</si>
  <si>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</si>
  <si>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</si>
  <si>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</si>
  <si>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</si>
  <si>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</si>
  <si>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</si>
  <si>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</si>
  <si>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</si>
  <si>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</si>
  <si>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</si>
  <si>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</si>
  <si>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Приложение № 2</t>
  </si>
  <si>
    <t>к приказу Федеральной службы по тарифам от 24 октября 2014г. № 1831-э</t>
  </si>
  <si>
    <t>Форма раскрытия информации о структуре и объёмах затрат на оказание услуг  по передаче электрической энергии сетевыми организациями, регулирование деятельности которых осуществляется методом  долгосрочной индексации необходимой валовой выручки</t>
  </si>
  <si>
    <t>Наимнование организации:                 Акционерное общество "Мурманэнергосбыт"</t>
  </si>
  <si>
    <t>ИНН</t>
  </si>
  <si>
    <t>КПП</t>
  </si>
  <si>
    <t>7.1.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</si>
  <si>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2015 - 2017 гг</t>
    </r>
  </si>
  <si>
    <t>факт</t>
  </si>
  <si>
    <t>1.1.4.</t>
  </si>
  <si>
    <t>1.1.5.</t>
  </si>
  <si>
    <t>1.2.9.</t>
  </si>
  <si>
    <t>1.2.8.</t>
  </si>
  <si>
    <t>1.2.10.</t>
  </si>
  <si>
    <t>1.2.11.</t>
  </si>
  <si>
    <t>1.2.12.</t>
  </si>
  <si>
    <t>1.3.</t>
  </si>
  <si>
    <t>Х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</si>
  <si>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</si>
  <si>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</si>
  <si>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</si>
  <si>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</si>
  <si>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</si>
  <si>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</si>
  <si>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1.1.3.3.1.</t>
  </si>
  <si>
    <t>Ремонт основных фондов</t>
  </si>
  <si>
    <t>1.1.3.3.2</t>
  </si>
  <si>
    <t>Оплата услуг сторонних организаций</t>
  </si>
  <si>
    <t>Расходы на командировки  и представительские раходы</t>
  </si>
  <si>
    <t>Расходы на подготовку кадров</t>
  </si>
  <si>
    <t>Расходы на обеспечение нормальных условий труда по технике безопасности</t>
  </si>
  <si>
    <t>1.1.3.3.3.</t>
  </si>
  <si>
    <t>1.1.3.3.4.</t>
  </si>
  <si>
    <t>1.1.3.3.5.</t>
  </si>
  <si>
    <t>1.1.3.3.6.</t>
  </si>
  <si>
    <t>1.1.3.3.7.</t>
  </si>
  <si>
    <t>Расходы на страхование</t>
  </si>
  <si>
    <t>Другие прочие расходы</t>
  </si>
  <si>
    <r>
      <t>Справочно: расходы на ремонт, всего (</t>
    </r>
    <r>
      <rPr>
        <sz val="12"/>
        <color rgb="FF0000FF"/>
        <rFont val="Times New Roman"/>
        <family val="1"/>
        <charset val="204"/>
      </rPr>
      <t>пункт 1.1.1.2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1.1.2.1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1.1.3.3.1</t>
    </r>
    <r>
      <rPr>
        <sz val="12"/>
        <color theme="1"/>
        <rFont val="Times New Roman"/>
        <family val="1"/>
        <charset val="204"/>
      </rPr>
      <t>)</t>
    </r>
  </si>
  <si>
    <t>руб/МВтч</t>
  </si>
  <si>
    <t>СН1</t>
  </si>
  <si>
    <t>СН2</t>
  </si>
  <si>
    <t>НН</t>
  </si>
  <si>
    <t>2016 год</t>
  </si>
  <si>
    <t>фонд заработной платы</t>
  </si>
  <si>
    <t>льготный проезд</t>
  </si>
  <si>
    <t xml:space="preserve">прочие выплаты </t>
  </si>
  <si>
    <t>прочие неподконтрольные расходы</t>
  </si>
  <si>
    <t>Норматив технологического расхода (потерь) электрической энергии, установленный Минэнерго России</t>
  </si>
  <si>
    <t>-</t>
  </si>
  <si>
    <t>Утверждено КТР</t>
  </si>
  <si>
    <t>2017 год</t>
  </si>
  <si>
    <t>Общее количество точек подключения на конец года</t>
  </si>
  <si>
    <t>себестоимость</t>
  </si>
  <si>
    <t>соц.выплаты</t>
  </si>
  <si>
    <t>ИТОГО</t>
  </si>
  <si>
    <t>факт. прибыль7621,522</t>
  </si>
  <si>
    <t>2018 год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</si>
  <si>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2018 - 2022 гг</t>
    </r>
  </si>
  <si>
    <t>в том числе за счет платы за технологическое присоединение ( в  т.ч.   выпадающие доходы)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</si>
</sst>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164" fontId="0" fillId="2" borderId="1" xfId="0" applyNumberFormat="1" applyFill="1" applyBorder="1" applyAlignment="1">
      <alignment vertical="center"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justify" vertical="top" wrapText="1"/>
    </xf>
    <xf numFmtId="164" fontId="0" fillId="2" borderId="0" xfId="0" applyNumberFormat="1" applyFill="1"/>
    <xf numFmtId="0" fontId="3" fillId="2" borderId="1" xfId="0" applyFont="1" applyFill="1" applyBorder="1" applyAlignment="1">
      <alignment horizontal="justify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 indent="10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wrapText="1"/>
    </xf>
    <xf numFmtId="1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vertical="center"/>
    </xf>
    <xf numFmtId="1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5" fillId="0" borderId="0" xfId="0" applyFont="1"/>
    <xf numFmtId="164" fontId="14" fillId="0" borderId="0" xfId="0" applyNumberFormat="1" applyFont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1" applyAlignment="1" applyProtection="1">
      <alignment vertical="top" wrapText="1"/>
    </xf>
    <xf numFmtId="166" fontId="3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0" fontId="18" fillId="0" borderId="4" xfId="0" applyFont="1" applyBorder="1" applyAlignment="1">
      <alignment horizontal="left"/>
    </xf>
    <xf numFmtId="164" fontId="19" fillId="2" borderId="0" xfId="0" applyNumberFormat="1" applyFont="1" applyFill="1" applyAlignment="1">
      <alignment vertical="center"/>
    </xf>
    <xf numFmtId="1" fontId="20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2" fillId="0" borderId="0" xfId="0" applyFont="1"/>
    <xf numFmtId="164" fontId="22" fillId="0" borderId="0" xfId="0" applyNumberFormat="1" applyFont="1"/>
    <xf numFmtId="0" fontId="17" fillId="0" borderId="0" xfId="0" applyFont="1"/>
    <xf numFmtId="164" fontId="23" fillId="0" borderId="0" xfId="0" applyNumberFormat="1" applyFont="1" applyAlignment="1">
      <alignment vertical="center" wrapText="1"/>
    </xf>
    <xf numFmtId="164" fontId="20" fillId="2" borderId="1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EBF4"/>
      <color rgb="FFF3F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86"/>
  <sheetViews>
    <sheetView tabSelected="1" topLeftCell="A59" workbookViewId="0">
      <selection activeCell="E52" sqref="E52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79</v>
      </c>
      <c r="D1" s="3"/>
      <c r="E1" s="3"/>
      <c r="F1" s="3"/>
    </row>
    <row r="2" spans="1:11" ht="51" customHeight="1">
      <c r="A2" s="3"/>
      <c r="B2" s="3"/>
      <c r="C2" s="97" t="s">
        <v>80</v>
      </c>
      <c r="D2" s="97"/>
      <c r="E2" s="97"/>
      <c r="F2" s="97"/>
    </row>
    <row r="3" spans="1:11" ht="69.75" customHeight="1">
      <c r="A3" s="98" t="s">
        <v>81</v>
      </c>
      <c r="B3" s="98"/>
      <c r="C3" s="98"/>
      <c r="D3" s="98"/>
      <c r="E3" s="98"/>
      <c r="F3" s="98"/>
    </row>
    <row r="4" spans="1:11" ht="38.25" customHeight="1">
      <c r="A4" s="6" t="s">
        <v>82</v>
      </c>
      <c r="B4" s="6"/>
      <c r="C4" s="7"/>
      <c r="D4" s="5"/>
      <c r="E4" s="5"/>
      <c r="F4" s="5"/>
    </row>
    <row r="5" spans="1:11" ht="19.5" customHeight="1">
      <c r="A5" s="8" t="s">
        <v>83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84</v>
      </c>
      <c r="B6" s="114">
        <v>785150001</v>
      </c>
      <c r="C6" s="9"/>
      <c r="D6" s="4"/>
      <c r="E6" s="4"/>
      <c r="F6" s="4"/>
    </row>
    <row r="7" spans="1:11" ht="19.5" customHeight="1">
      <c r="A7" s="8" t="s">
        <v>137</v>
      </c>
      <c r="B7" s="8"/>
      <c r="C7" s="9"/>
      <c r="D7" s="68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99" t="s">
        <v>18</v>
      </c>
      <c r="B9" s="99" t="s">
        <v>0</v>
      </c>
      <c r="C9" s="99" t="s">
        <v>19</v>
      </c>
      <c r="D9" s="100" t="s">
        <v>136</v>
      </c>
      <c r="E9" s="101"/>
      <c r="F9" s="102" t="s">
        <v>1</v>
      </c>
    </row>
    <row r="10" spans="1:11" ht="42.75" customHeight="1">
      <c r="A10" s="99"/>
      <c r="B10" s="99"/>
      <c r="C10" s="99"/>
      <c r="D10" s="93" t="s">
        <v>129</v>
      </c>
      <c r="E10" s="93" t="s">
        <v>87</v>
      </c>
      <c r="F10" s="103"/>
    </row>
    <row r="11" spans="1:11" ht="24.75" customHeight="1">
      <c r="A11" s="88" t="s">
        <v>20</v>
      </c>
      <c r="B11" s="15" t="s">
        <v>21</v>
      </c>
      <c r="C11" s="88" t="s">
        <v>22</v>
      </c>
      <c r="D11" s="88" t="s">
        <v>22</v>
      </c>
      <c r="E11" s="88" t="s">
        <v>22</v>
      </c>
      <c r="F11" s="88" t="s">
        <v>22</v>
      </c>
      <c r="G11" s="94" t="s">
        <v>132</v>
      </c>
      <c r="H11" s="94" t="s">
        <v>133</v>
      </c>
      <c r="I11" s="94" t="s">
        <v>134</v>
      </c>
    </row>
    <row r="12" spans="1:11" ht="30" customHeight="1">
      <c r="A12" s="88">
        <v>1</v>
      </c>
      <c r="B12" s="16" t="s">
        <v>23</v>
      </c>
      <c r="C12" s="17" t="s">
        <v>24</v>
      </c>
      <c r="D12" s="32">
        <f>D13+D37+D51</f>
        <v>167762.65299999999</v>
      </c>
      <c r="E12" s="32">
        <f>E13+E37+E51</f>
        <v>186330.18400000001</v>
      </c>
      <c r="F12" s="19"/>
      <c r="G12" s="95">
        <v>156384.67000000001</v>
      </c>
      <c r="H12" s="121"/>
      <c r="I12" s="121"/>
      <c r="J12" s="118"/>
      <c r="K12" s="2"/>
    </row>
    <row r="13" spans="1:11" ht="24.95" customHeight="1">
      <c r="A13" s="20" t="s">
        <v>2</v>
      </c>
      <c r="B13" s="16" t="s">
        <v>25</v>
      </c>
      <c r="C13" s="17" t="s">
        <v>24</v>
      </c>
      <c r="D13" s="32">
        <f>D14+D19+D24+D35+D36</f>
        <v>95863.874999999985</v>
      </c>
      <c r="E13" s="32">
        <f>E14+E19+E24+E35+E36</f>
        <v>107002.264</v>
      </c>
      <c r="F13" s="19"/>
      <c r="G13" s="2"/>
      <c r="H13" s="2"/>
      <c r="I13" s="119"/>
    </row>
    <row r="14" spans="1:11" ht="24.95" customHeight="1">
      <c r="A14" s="21" t="s">
        <v>3</v>
      </c>
      <c r="B14" s="16" t="s">
        <v>26</v>
      </c>
      <c r="C14" s="17" t="s">
        <v>24</v>
      </c>
      <c r="D14" s="32">
        <f>D15+D17</f>
        <v>3512.6309999999999</v>
      </c>
      <c r="E14" s="32">
        <f>E15+E17</f>
        <v>6941.259</v>
      </c>
      <c r="F14" s="19"/>
      <c r="G14" s="2"/>
      <c r="H14" s="2"/>
      <c r="I14" s="2"/>
    </row>
    <row r="15" spans="1:11" ht="24.95" customHeight="1">
      <c r="A15" s="88" t="s">
        <v>27</v>
      </c>
      <c r="B15" s="15" t="s">
        <v>28</v>
      </c>
      <c r="C15" s="88" t="s">
        <v>24</v>
      </c>
      <c r="D15" s="22">
        <v>3132.6559999999999</v>
      </c>
      <c r="E15" s="22">
        <f>1543.604+1222.349+3657.949-140.91</f>
        <v>6282.9920000000002</v>
      </c>
      <c r="F15" s="91"/>
      <c r="G15" s="2"/>
      <c r="I15" s="2"/>
    </row>
    <row r="16" spans="1:11" ht="24.95" customHeight="1">
      <c r="A16" s="88" t="s">
        <v>29</v>
      </c>
      <c r="B16" s="37" t="s">
        <v>33</v>
      </c>
      <c r="C16" s="88" t="s">
        <v>24</v>
      </c>
      <c r="D16" s="46"/>
      <c r="E16" s="22">
        <f>3657.949-140.91</f>
        <v>3517.0390000000002</v>
      </c>
      <c r="F16" s="91"/>
      <c r="G16" s="2"/>
      <c r="H16" s="2"/>
      <c r="I16" s="2"/>
      <c r="J16" s="2"/>
    </row>
    <row r="17" spans="1:9" ht="51" customHeight="1">
      <c r="A17" s="88" t="s">
        <v>30</v>
      </c>
      <c r="B17" s="15" t="s">
        <v>31</v>
      </c>
      <c r="C17" s="88" t="s">
        <v>24</v>
      </c>
      <c r="D17" s="22">
        <v>379.97500000000002</v>
      </c>
      <c r="E17" s="22">
        <f>248.827+146.36+12.956+250.124</f>
        <v>658.26700000000005</v>
      </c>
      <c r="F17" s="91"/>
      <c r="G17" s="2"/>
      <c r="I17" s="2"/>
    </row>
    <row r="18" spans="1:9" ht="24.95" customHeight="1">
      <c r="A18" s="88" t="s">
        <v>32</v>
      </c>
      <c r="B18" s="37" t="s">
        <v>33</v>
      </c>
      <c r="C18" s="88" t="s">
        <v>24</v>
      </c>
      <c r="D18" s="22"/>
      <c r="E18" s="71"/>
      <c r="F18" s="91"/>
      <c r="I18" s="2"/>
    </row>
    <row r="19" spans="1:9" ht="24.95" customHeight="1">
      <c r="A19" s="21" t="s">
        <v>4</v>
      </c>
      <c r="B19" s="16" t="s">
        <v>9</v>
      </c>
      <c r="C19" s="17" t="s">
        <v>24</v>
      </c>
      <c r="D19" s="32">
        <f>D20+D21+D22</f>
        <v>80431.463999999993</v>
      </c>
      <c r="E19" s="32">
        <f>E20+E21+E22</f>
        <v>81567.218999999997</v>
      </c>
      <c r="F19" s="19"/>
      <c r="G19" s="120"/>
      <c r="H19" s="120"/>
      <c r="I19" s="120"/>
    </row>
    <row r="20" spans="1:9" ht="24.95" customHeight="1" outlineLevel="1">
      <c r="A20" s="47"/>
      <c r="B20" s="48" t="s">
        <v>123</v>
      </c>
      <c r="C20" s="49" t="s">
        <v>24</v>
      </c>
      <c r="D20" s="50">
        <v>79264.235000000001</v>
      </c>
      <c r="E20" s="50">
        <v>79995.710999999996</v>
      </c>
      <c r="F20" s="51"/>
    </row>
    <row r="21" spans="1:9" ht="24.95" customHeight="1" outlineLevel="1">
      <c r="A21" s="47"/>
      <c r="B21" s="48" t="s">
        <v>124</v>
      </c>
      <c r="C21" s="49" t="s">
        <v>24</v>
      </c>
      <c r="D21" s="50">
        <v>1165.549</v>
      </c>
      <c r="E21" s="50">
        <v>1003.522</v>
      </c>
      <c r="F21" s="52"/>
    </row>
    <row r="22" spans="1:9" ht="24.95" customHeight="1" outlineLevel="1">
      <c r="A22" s="47"/>
      <c r="B22" s="48" t="s">
        <v>125</v>
      </c>
      <c r="C22" s="49" t="s">
        <v>24</v>
      </c>
      <c r="D22" s="50">
        <v>1.68</v>
      </c>
      <c r="E22" s="50">
        <f>1571.508-1003.522</f>
        <v>567.98599999999999</v>
      </c>
      <c r="F22" s="52"/>
    </row>
    <row r="23" spans="1:9" ht="24.95" customHeight="1">
      <c r="A23" s="92" t="s">
        <v>34</v>
      </c>
      <c r="B23" s="37" t="s">
        <v>33</v>
      </c>
      <c r="C23" s="88" t="s">
        <v>24</v>
      </c>
      <c r="D23" s="22"/>
      <c r="E23" s="22">
        <f>901.577+5177.053</f>
        <v>6078.63</v>
      </c>
      <c r="F23" s="91"/>
    </row>
    <row r="24" spans="1:9" ht="24.95" customHeight="1">
      <c r="A24" s="27" t="s">
        <v>5</v>
      </c>
      <c r="B24" s="15" t="s">
        <v>35</v>
      </c>
      <c r="C24" s="88" t="s">
        <v>24</v>
      </c>
      <c r="D24" s="22">
        <f>D25+D26+D27</f>
        <v>11919.78</v>
      </c>
      <c r="E24" s="22">
        <f>E25+E26+E27</f>
        <v>18493.786</v>
      </c>
      <c r="F24" s="91"/>
    </row>
    <row r="25" spans="1:9" ht="34.5" customHeight="1">
      <c r="A25" s="92" t="s">
        <v>36</v>
      </c>
      <c r="B25" s="15" t="s">
        <v>37</v>
      </c>
      <c r="C25" s="88" t="s">
        <v>24</v>
      </c>
      <c r="D25" s="22">
        <v>320.40100000000001</v>
      </c>
      <c r="E25" s="22">
        <v>144.726</v>
      </c>
      <c r="F25" s="91"/>
      <c r="G25" s="80"/>
    </row>
    <row r="26" spans="1:9" ht="24.95" customHeight="1">
      <c r="A26" s="92" t="s">
        <v>38</v>
      </c>
      <c r="B26" s="15" t="s">
        <v>39</v>
      </c>
      <c r="C26" s="88" t="s">
        <v>24</v>
      </c>
      <c r="D26" s="22">
        <v>228.74799999999999</v>
      </c>
      <c r="E26" s="22">
        <f>344.084+68.432</f>
        <v>412.51600000000002</v>
      </c>
      <c r="F26" s="91"/>
    </row>
    <row r="27" spans="1:9" ht="24.95" customHeight="1">
      <c r="A27" s="92" t="s">
        <v>40</v>
      </c>
      <c r="B27" s="28" t="s">
        <v>41</v>
      </c>
      <c r="C27" s="88" t="s">
        <v>24</v>
      </c>
      <c r="D27" s="22">
        <f>SUM(D28:D34)</f>
        <v>11370.631000000001</v>
      </c>
      <c r="E27" s="22">
        <f>SUM(E28:E34)</f>
        <v>17936.544000000002</v>
      </c>
      <c r="F27" s="91"/>
    </row>
    <row r="28" spans="1:9" ht="40.5" customHeight="1">
      <c r="A28" s="92" t="s">
        <v>103</v>
      </c>
      <c r="B28" s="76" t="s">
        <v>104</v>
      </c>
      <c r="C28" s="92" t="s">
        <v>24</v>
      </c>
      <c r="D28" s="22">
        <v>1133.646</v>
      </c>
      <c r="E28" s="22">
        <v>140.91</v>
      </c>
      <c r="F28" s="91"/>
    </row>
    <row r="29" spans="1:9" ht="24.95" customHeight="1">
      <c r="A29" s="92" t="s">
        <v>105</v>
      </c>
      <c r="B29" s="15" t="s">
        <v>106</v>
      </c>
      <c r="C29" s="92" t="s">
        <v>24</v>
      </c>
      <c r="D29" s="115">
        <f>543.855+569.025+230.577</f>
        <v>1343.4570000000001</v>
      </c>
      <c r="E29" s="122">
        <f>1269.792-2.126-257.389</f>
        <v>1010.2769999999999</v>
      </c>
      <c r="F29" s="91"/>
    </row>
    <row r="30" spans="1:9" ht="24.95" customHeight="1">
      <c r="A30" s="92" t="s">
        <v>110</v>
      </c>
      <c r="B30" s="15" t="s">
        <v>107</v>
      </c>
      <c r="C30" s="92" t="s">
        <v>24</v>
      </c>
      <c r="D30" s="22">
        <v>0</v>
      </c>
      <c r="E30" s="22">
        <f>210.678+17.489+11.991+54.177+1.364</f>
        <v>295.69900000000001</v>
      </c>
      <c r="F30" s="91"/>
    </row>
    <row r="31" spans="1:9" ht="24.95" customHeight="1">
      <c r="A31" s="92" t="s">
        <v>111</v>
      </c>
      <c r="B31" s="15" t="s">
        <v>108</v>
      </c>
      <c r="C31" s="92" t="s">
        <v>24</v>
      </c>
      <c r="D31" s="22">
        <v>105.03</v>
      </c>
      <c r="E31" s="22">
        <f>257.389+26.987</f>
        <v>284.37600000000003</v>
      </c>
      <c r="F31" s="91"/>
    </row>
    <row r="32" spans="1:9" ht="34.5" customHeight="1">
      <c r="A32" s="92" t="s">
        <v>112</v>
      </c>
      <c r="B32" s="30" t="s">
        <v>109</v>
      </c>
      <c r="C32" s="92" t="s">
        <v>24</v>
      </c>
      <c r="D32" s="22">
        <v>1483.712</v>
      </c>
      <c r="E32" s="22">
        <f>81.38+1697.098+313.177+335.397+2.126+5.534</f>
        <v>2434.7120000000004</v>
      </c>
      <c r="F32" s="91"/>
    </row>
    <row r="33" spans="1:8" ht="34.5" customHeight="1">
      <c r="A33" s="92" t="s">
        <v>113</v>
      </c>
      <c r="B33" s="30" t="s">
        <v>115</v>
      </c>
      <c r="C33" s="92" t="s">
        <v>24</v>
      </c>
      <c r="D33" s="22">
        <v>252.32400000000001</v>
      </c>
      <c r="E33" s="22">
        <f>182.72+2.174+0.161</f>
        <v>185.05500000000001</v>
      </c>
      <c r="F33" s="91"/>
    </row>
    <row r="34" spans="1:8" ht="24.95" customHeight="1">
      <c r="A34" s="92" t="s">
        <v>114</v>
      </c>
      <c r="B34" s="15" t="s">
        <v>116</v>
      </c>
      <c r="C34" s="92" t="s">
        <v>24</v>
      </c>
      <c r="D34" s="22">
        <v>7052.4620000000004</v>
      </c>
      <c r="E34" s="22">
        <f>13242.209+116.124+227.182</f>
        <v>13585.515000000001</v>
      </c>
      <c r="F34" s="91"/>
    </row>
    <row r="35" spans="1:8" ht="36.75" customHeight="1">
      <c r="A35" s="27" t="s">
        <v>88</v>
      </c>
      <c r="B35" s="15" t="s">
        <v>42</v>
      </c>
      <c r="C35" s="88" t="s">
        <v>24</v>
      </c>
      <c r="D35" s="22"/>
      <c r="E35" s="46"/>
      <c r="F35" s="91"/>
    </row>
    <row r="36" spans="1:8" ht="24.95" customHeight="1">
      <c r="A36" s="27" t="s">
        <v>89</v>
      </c>
      <c r="B36" s="15" t="s">
        <v>43</v>
      </c>
      <c r="C36" s="88" t="s">
        <v>24</v>
      </c>
      <c r="D36" s="22"/>
      <c r="E36" s="46"/>
      <c r="F36" s="91"/>
    </row>
    <row r="37" spans="1:8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80625.103999999992</v>
      </c>
      <c r="E37" s="32">
        <f>SUM(E38:E47)+E49+E50</f>
        <v>79327.92</v>
      </c>
      <c r="F37" s="33"/>
    </row>
    <row r="38" spans="1:8" ht="24.95" customHeight="1">
      <c r="A38" s="27" t="s">
        <v>7</v>
      </c>
      <c r="B38" s="15" t="s">
        <v>45</v>
      </c>
      <c r="C38" s="88" t="s">
        <v>24</v>
      </c>
      <c r="D38" s="22"/>
      <c r="E38" s="71"/>
      <c r="F38" s="91"/>
    </row>
    <row r="39" spans="1:8" ht="33.75" customHeight="1">
      <c r="A39" s="27" t="s">
        <v>8</v>
      </c>
      <c r="B39" s="15" t="s">
        <v>46</v>
      </c>
      <c r="C39" s="88" t="s">
        <v>24</v>
      </c>
      <c r="D39" s="22"/>
      <c r="E39" s="71"/>
      <c r="F39" s="91"/>
    </row>
    <row r="40" spans="1:8" ht="24.95" customHeight="1">
      <c r="A40" s="27" t="s">
        <v>11</v>
      </c>
      <c r="B40" s="15" t="s">
        <v>47</v>
      </c>
      <c r="C40" s="88" t="s">
        <v>24</v>
      </c>
      <c r="D40" s="1">
        <v>30251.761999999999</v>
      </c>
      <c r="E40" s="75">
        <f>28506.986-116.124</f>
        <v>28390.862000000001</v>
      </c>
      <c r="F40" s="91"/>
    </row>
    <row r="41" spans="1:8" ht="24.95" customHeight="1">
      <c r="A41" s="27" t="s">
        <v>12</v>
      </c>
      <c r="B41" s="15" t="s">
        <v>10</v>
      </c>
      <c r="C41" s="88" t="s">
        <v>24</v>
      </c>
      <c r="D41" s="1">
        <v>23937.808000000001</v>
      </c>
      <c r="E41" s="75">
        <v>24034.609</v>
      </c>
      <c r="F41" s="91"/>
    </row>
    <row r="42" spans="1:8" ht="36.75" customHeight="1">
      <c r="A42" s="27" t="s">
        <v>14</v>
      </c>
      <c r="B42" s="15" t="s">
        <v>48</v>
      </c>
      <c r="C42" s="88" t="s">
        <v>24</v>
      </c>
      <c r="D42" s="22"/>
      <c r="E42" s="71"/>
      <c r="F42" s="91"/>
    </row>
    <row r="43" spans="1:8" ht="24.95" customHeight="1">
      <c r="A43" s="27" t="s">
        <v>16</v>
      </c>
      <c r="B43" s="15" t="s">
        <v>49</v>
      </c>
      <c r="C43" s="88" t="s">
        <v>24</v>
      </c>
      <c r="D43" s="1">
        <v>1819.63</v>
      </c>
      <c r="E43" s="75">
        <v>4131.5860000000002</v>
      </c>
      <c r="F43" s="91"/>
      <c r="G43" s="2"/>
    </row>
    <row r="44" spans="1:8" ht="24.95" customHeight="1">
      <c r="A44" s="27" t="s">
        <v>17</v>
      </c>
      <c r="B44" s="15" t="s">
        <v>50</v>
      </c>
      <c r="C44" s="88" t="s">
        <v>24</v>
      </c>
      <c r="D44" s="22">
        <v>15389</v>
      </c>
      <c r="E44" s="22">
        <v>14094</v>
      </c>
      <c r="F44" s="96" t="s">
        <v>135</v>
      </c>
      <c r="G44" s="2"/>
      <c r="H44" s="2"/>
    </row>
    <row r="45" spans="1:8" ht="24.95" customHeight="1">
      <c r="A45" s="27" t="s">
        <v>91</v>
      </c>
      <c r="B45" s="15" t="s">
        <v>13</v>
      </c>
      <c r="C45" s="88" t="s">
        <v>24</v>
      </c>
      <c r="D45" s="1">
        <v>0</v>
      </c>
      <c r="E45" s="75">
        <v>0</v>
      </c>
      <c r="F45" s="91"/>
    </row>
    <row r="46" spans="1:8" ht="24.95" customHeight="1">
      <c r="A46" s="27" t="s">
        <v>90</v>
      </c>
      <c r="B46" s="15" t="s">
        <v>15</v>
      </c>
      <c r="C46" s="88" t="s">
        <v>24</v>
      </c>
      <c r="D46" s="1">
        <v>148.011</v>
      </c>
      <c r="E46" s="75">
        <v>343.81599999999997</v>
      </c>
      <c r="F46" s="91"/>
    </row>
    <row r="47" spans="1:8" ht="54" customHeight="1">
      <c r="A47" s="27" t="s">
        <v>92</v>
      </c>
      <c r="B47" s="15" t="s">
        <v>51</v>
      </c>
      <c r="C47" s="92" t="s">
        <v>24</v>
      </c>
      <c r="D47" s="1">
        <v>6359.4</v>
      </c>
      <c r="E47" s="75">
        <v>5821.57</v>
      </c>
      <c r="F47" s="91"/>
    </row>
    <row r="48" spans="1:8" ht="24.95" customHeight="1">
      <c r="A48" s="92" t="s">
        <v>52</v>
      </c>
      <c r="B48" s="15" t="s">
        <v>53</v>
      </c>
      <c r="C48" s="88" t="s">
        <v>54</v>
      </c>
      <c r="D48" s="116">
        <f>87+1</f>
        <v>88</v>
      </c>
      <c r="E48" s="90">
        <v>80</v>
      </c>
      <c r="F48" s="91"/>
    </row>
    <row r="49" spans="1:10" ht="104.25" customHeight="1">
      <c r="A49" s="27" t="s">
        <v>93</v>
      </c>
      <c r="B49" s="15" t="s">
        <v>55</v>
      </c>
      <c r="C49" s="88" t="s">
        <v>24</v>
      </c>
      <c r="D49" s="22"/>
      <c r="E49" s="71"/>
      <c r="F49" s="91"/>
    </row>
    <row r="50" spans="1:10" ht="24.95" customHeight="1">
      <c r="A50" s="27" t="s">
        <v>94</v>
      </c>
      <c r="B50" s="15" t="s">
        <v>126</v>
      </c>
      <c r="C50" s="88" t="s">
        <v>24</v>
      </c>
      <c r="D50" s="1">
        <v>2719.4929999999999</v>
      </c>
      <c r="E50" s="75">
        <f>41.93+927.776+1541.771</f>
        <v>2511.4769999999999</v>
      </c>
      <c r="F50" s="91"/>
    </row>
    <row r="51" spans="1:10" ht="39" customHeight="1">
      <c r="A51" s="87" t="s">
        <v>95</v>
      </c>
      <c r="B51" s="15" t="s">
        <v>56</v>
      </c>
      <c r="C51" s="88" t="s">
        <v>24</v>
      </c>
      <c r="D51" s="90">
        <v>-8726.3259999999991</v>
      </c>
      <c r="E51" s="71"/>
      <c r="F51" s="91"/>
    </row>
    <row r="52" spans="1:10" ht="44.25" customHeight="1">
      <c r="A52" s="92" t="s">
        <v>57</v>
      </c>
      <c r="B52" s="15" t="s">
        <v>117</v>
      </c>
      <c r="C52" s="88" t="s">
        <v>24</v>
      </c>
      <c r="D52" s="22">
        <f>D16+D18+D23+D28</f>
        <v>1133.646</v>
      </c>
      <c r="E52" s="22">
        <f>E16+E18+E23+E28</f>
        <v>9736.5789999999997</v>
      </c>
      <c r="F52" s="91"/>
      <c r="H52" s="2"/>
      <c r="I52" s="2"/>
      <c r="J52" s="2"/>
    </row>
    <row r="53" spans="1:10" ht="39" customHeight="1">
      <c r="A53" s="92" t="s">
        <v>58</v>
      </c>
      <c r="B53" s="16" t="s">
        <v>59</v>
      </c>
      <c r="C53" s="17" t="s">
        <v>24</v>
      </c>
      <c r="D53" s="32">
        <v>23361.507000000001</v>
      </c>
      <c r="E53" s="32">
        <v>26333.352999999999</v>
      </c>
      <c r="F53" s="19"/>
    </row>
    <row r="54" spans="1:10" ht="24.95" customHeight="1">
      <c r="A54" s="104" t="s">
        <v>2</v>
      </c>
      <c r="B54" s="15" t="s">
        <v>60</v>
      </c>
      <c r="C54" s="105" t="s">
        <v>62</v>
      </c>
      <c r="D54" s="108">
        <v>11428.1</v>
      </c>
      <c r="E54" s="109">
        <v>13269.79</v>
      </c>
      <c r="F54" s="107"/>
    </row>
    <row r="55" spans="1:10" ht="24.95" customHeight="1">
      <c r="A55" s="104"/>
      <c r="B55" s="15" t="s">
        <v>61</v>
      </c>
      <c r="C55" s="105"/>
      <c r="D55" s="108"/>
      <c r="E55" s="109"/>
      <c r="F55" s="107"/>
    </row>
    <row r="56" spans="1:10" ht="24.95" customHeight="1">
      <c r="A56" s="104" t="s">
        <v>6</v>
      </c>
      <c r="B56" s="15" t="s">
        <v>60</v>
      </c>
      <c r="C56" s="105" t="s">
        <v>118</v>
      </c>
      <c r="D56" s="106">
        <f>D53/D54*1000</f>
        <v>2044.2161864176899</v>
      </c>
      <c r="E56" s="106">
        <f>E53/E54*1000</f>
        <v>1984.4589100505734</v>
      </c>
      <c r="F56" s="107"/>
    </row>
    <row r="57" spans="1:10" ht="37.5" customHeight="1">
      <c r="A57" s="104"/>
      <c r="B57" s="15" t="s">
        <v>63</v>
      </c>
      <c r="C57" s="105"/>
      <c r="D57" s="106"/>
      <c r="E57" s="106"/>
      <c r="F57" s="107"/>
    </row>
    <row r="58" spans="1:10" ht="53.25" customHeight="1">
      <c r="A58" s="92" t="s">
        <v>64</v>
      </c>
      <c r="B58" s="15" t="s">
        <v>65</v>
      </c>
      <c r="C58" s="92" t="s">
        <v>22</v>
      </c>
      <c r="D58" s="92" t="s">
        <v>22</v>
      </c>
      <c r="E58" s="92" t="s">
        <v>22</v>
      </c>
      <c r="F58" s="92" t="s">
        <v>22</v>
      </c>
      <c r="G58" s="79"/>
    </row>
    <row r="59" spans="1:10" ht="29.25" customHeight="1">
      <c r="A59" s="70">
        <v>1</v>
      </c>
      <c r="B59" s="16" t="s">
        <v>131</v>
      </c>
      <c r="C59" s="17" t="s">
        <v>67</v>
      </c>
      <c r="D59" s="117">
        <v>3863</v>
      </c>
      <c r="E59" s="117">
        <v>4126</v>
      </c>
      <c r="F59" s="19"/>
    </row>
    <row r="60" spans="1:10" ht="24.95" customHeight="1">
      <c r="A60" s="70">
        <v>2</v>
      </c>
      <c r="B60" s="16" t="s">
        <v>68</v>
      </c>
      <c r="C60" s="17" t="s">
        <v>69</v>
      </c>
      <c r="D60" s="33">
        <v>116.134</v>
      </c>
      <c r="E60" s="33">
        <v>120.259</v>
      </c>
      <c r="F60" s="19"/>
    </row>
    <row r="61" spans="1:10" ht="24.95" customHeight="1">
      <c r="A61" s="92"/>
      <c r="B61" s="92" t="s">
        <v>119</v>
      </c>
      <c r="C61" s="92" t="s">
        <v>69</v>
      </c>
      <c r="D61" s="90">
        <v>20</v>
      </c>
      <c r="E61" s="90">
        <v>20</v>
      </c>
      <c r="F61" s="90"/>
    </row>
    <row r="62" spans="1:10" ht="37.5" customHeight="1">
      <c r="A62" s="92"/>
      <c r="B62" s="92" t="s">
        <v>120</v>
      </c>
      <c r="C62" s="92" t="s">
        <v>69</v>
      </c>
      <c r="D62" s="90">
        <f>D60-D61</f>
        <v>96.134</v>
      </c>
      <c r="E62" s="90">
        <f>E60-E61</f>
        <v>100.259</v>
      </c>
      <c r="F62" s="90"/>
    </row>
    <row r="63" spans="1:10" ht="24.95" customHeight="1">
      <c r="A63" s="92">
        <v>3</v>
      </c>
      <c r="B63" s="16" t="s">
        <v>70</v>
      </c>
      <c r="C63" s="17" t="s">
        <v>71</v>
      </c>
      <c r="D63" s="32">
        <f>D64+D65+D66</f>
        <v>1022.5350000000001</v>
      </c>
      <c r="E63" s="32">
        <f>E64+E65+E66</f>
        <v>1027.454</v>
      </c>
      <c r="F63" s="91"/>
      <c r="G63" s="2"/>
    </row>
    <row r="64" spans="1:10" ht="35.25" customHeight="1">
      <c r="A64" s="92"/>
      <c r="B64" s="92" t="s">
        <v>119</v>
      </c>
      <c r="C64" s="92" t="s">
        <v>71</v>
      </c>
      <c r="D64" s="22"/>
      <c r="E64" s="74"/>
      <c r="F64" s="90"/>
    </row>
    <row r="65" spans="1:7" ht="35.25" customHeight="1">
      <c r="A65" s="92"/>
      <c r="B65" s="92" t="s">
        <v>120</v>
      </c>
      <c r="C65" s="92" t="s">
        <v>71</v>
      </c>
      <c r="D65" s="22">
        <v>601.57600000000002</v>
      </c>
      <c r="E65" s="22">
        <v>605.57899999999995</v>
      </c>
      <c r="F65" s="90"/>
    </row>
    <row r="66" spans="1:7" ht="35.25" customHeight="1">
      <c r="A66" s="92"/>
      <c r="B66" s="92" t="s">
        <v>121</v>
      </c>
      <c r="C66" s="92" t="s">
        <v>71</v>
      </c>
      <c r="D66" s="22">
        <v>420.959</v>
      </c>
      <c r="E66" s="22">
        <v>421.875</v>
      </c>
      <c r="F66" s="90"/>
    </row>
    <row r="67" spans="1:7" ht="24.95" customHeight="1">
      <c r="A67" s="92">
        <v>4</v>
      </c>
      <c r="B67" s="16" t="s">
        <v>72</v>
      </c>
      <c r="C67" s="17" t="s">
        <v>71</v>
      </c>
      <c r="D67" s="72">
        <f>D68+D69+D70</f>
        <v>1957.5</v>
      </c>
      <c r="E67" s="72">
        <f>E68+E69+E70</f>
        <v>1963.5</v>
      </c>
      <c r="F67" s="91"/>
    </row>
    <row r="68" spans="1:7" ht="24.95" customHeight="1">
      <c r="A68" s="92"/>
      <c r="B68" s="37" t="s">
        <v>119</v>
      </c>
      <c r="C68" s="88" t="s">
        <v>71</v>
      </c>
      <c r="D68" s="74">
        <v>92</v>
      </c>
      <c r="E68" s="89">
        <v>92</v>
      </c>
      <c r="F68" s="91"/>
    </row>
    <row r="69" spans="1:7" ht="24.95" customHeight="1">
      <c r="A69" s="92"/>
      <c r="B69" s="37" t="s">
        <v>120</v>
      </c>
      <c r="C69" s="88" t="s">
        <v>71</v>
      </c>
      <c r="D69" s="89">
        <v>1865.5</v>
      </c>
      <c r="E69" s="89">
        <v>1871.5</v>
      </c>
      <c r="F69" s="91"/>
    </row>
    <row r="70" spans="1:7" ht="24.95" customHeight="1">
      <c r="A70" s="92"/>
      <c r="B70" s="37" t="s">
        <v>121</v>
      </c>
      <c r="C70" s="88" t="s">
        <v>71</v>
      </c>
      <c r="D70" s="90"/>
      <c r="E70" s="90"/>
      <c r="F70" s="91"/>
    </row>
    <row r="71" spans="1:7" ht="24.95" customHeight="1">
      <c r="A71" s="92">
        <v>5</v>
      </c>
      <c r="B71" s="16" t="s">
        <v>73</v>
      </c>
      <c r="C71" s="17" t="s">
        <v>74</v>
      </c>
      <c r="D71" s="33">
        <f>D73+D74</f>
        <v>378.62700000000001</v>
      </c>
      <c r="E71" s="32">
        <f>E73+E74</f>
        <v>381.58299999999997</v>
      </c>
      <c r="F71" s="91"/>
      <c r="G71" s="2"/>
    </row>
    <row r="72" spans="1:7" ht="24.95" customHeight="1">
      <c r="A72" s="92"/>
      <c r="B72" s="37" t="s">
        <v>119</v>
      </c>
      <c r="C72" s="88" t="s">
        <v>74</v>
      </c>
      <c r="D72" s="90"/>
      <c r="E72" s="90"/>
      <c r="F72" s="91"/>
    </row>
    <row r="73" spans="1:7" ht="24.95" customHeight="1">
      <c r="A73" s="92"/>
      <c r="B73" s="37" t="s">
        <v>120</v>
      </c>
      <c r="C73" s="88" t="s">
        <v>74</v>
      </c>
      <c r="D73" s="22">
        <v>219.703</v>
      </c>
      <c r="E73" s="22">
        <v>222.27699999999999</v>
      </c>
      <c r="F73" s="90"/>
    </row>
    <row r="74" spans="1:7" ht="24.95" customHeight="1">
      <c r="A74" s="92"/>
      <c r="B74" s="37" t="s">
        <v>121</v>
      </c>
      <c r="C74" s="88" t="s">
        <v>74</v>
      </c>
      <c r="D74" s="90">
        <v>158.92400000000001</v>
      </c>
      <c r="E74" s="22">
        <v>159.30600000000001</v>
      </c>
      <c r="F74" s="90"/>
    </row>
    <row r="75" spans="1:7" ht="24.95" customHeight="1">
      <c r="A75" s="92">
        <v>6</v>
      </c>
      <c r="B75" s="15" t="s">
        <v>75</v>
      </c>
      <c r="C75" s="88" t="s">
        <v>76</v>
      </c>
      <c r="D75" s="74">
        <f>(139.252+133.394)/D71*100</f>
        <v>72.009127716723853</v>
      </c>
      <c r="E75" s="74">
        <f>(139.442+133.544)/E71*100</f>
        <v>71.54039881231607</v>
      </c>
      <c r="F75" s="91"/>
    </row>
    <row r="76" spans="1:7" ht="38.25" customHeight="1">
      <c r="A76" s="92">
        <v>7</v>
      </c>
      <c r="B76" s="15" t="s">
        <v>77</v>
      </c>
      <c r="C76" s="88" t="s">
        <v>24</v>
      </c>
      <c r="D76" s="71"/>
      <c r="E76" s="32">
        <f>21526.166-21.9-30-2343.744-2892.681</f>
        <v>16237.841</v>
      </c>
      <c r="F76" s="24"/>
    </row>
    <row r="77" spans="1:7" ht="39.75" customHeight="1">
      <c r="A77" s="87" t="s">
        <v>85</v>
      </c>
      <c r="B77" s="15" t="s">
        <v>138</v>
      </c>
      <c r="C77" s="88" t="s">
        <v>24</v>
      </c>
      <c r="D77" s="71"/>
      <c r="E77" s="90">
        <f>193.149+6338.982</f>
        <v>6532.1310000000003</v>
      </c>
      <c r="F77" s="91"/>
    </row>
    <row r="78" spans="1:7" ht="41.25" customHeight="1">
      <c r="A78" s="40">
        <v>8</v>
      </c>
      <c r="B78" s="90" t="s">
        <v>127</v>
      </c>
      <c r="C78" s="92" t="s">
        <v>76</v>
      </c>
      <c r="D78" s="92" t="s">
        <v>96</v>
      </c>
      <c r="E78" s="92" t="s">
        <v>96</v>
      </c>
      <c r="F78" s="92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86" t="s">
        <v>97</v>
      </c>
    </row>
    <row r="81" spans="2:6" s="11" customFormat="1" ht="57.75" customHeight="1">
      <c r="B81" s="110" t="s">
        <v>98</v>
      </c>
      <c r="C81" s="110"/>
      <c r="D81" s="110"/>
      <c r="E81" s="110"/>
      <c r="F81" s="110"/>
    </row>
    <row r="82" spans="2:6" s="11" customFormat="1" ht="30.75" customHeight="1">
      <c r="B82" s="110" t="s">
        <v>99</v>
      </c>
      <c r="C82" s="110"/>
      <c r="D82" s="110"/>
      <c r="E82" s="110"/>
      <c r="F82" s="110"/>
    </row>
    <row r="83" spans="2:6" s="11" customFormat="1" ht="33.75" customHeight="1">
      <c r="B83" s="111" t="s">
        <v>100</v>
      </c>
      <c r="C83" s="111"/>
      <c r="D83" s="111"/>
      <c r="E83" s="111"/>
      <c r="F83" s="111"/>
    </row>
    <row r="84" spans="2:6" s="11" customFormat="1" ht="34.5" customHeight="1">
      <c r="B84" s="110" t="s">
        <v>101</v>
      </c>
      <c r="C84" s="110"/>
      <c r="D84" s="110"/>
      <c r="E84" s="110"/>
      <c r="F84" s="110"/>
    </row>
    <row r="85" spans="2:6" s="11" customFormat="1" ht="50.1" customHeight="1">
      <c r="B85" s="110" t="s">
        <v>102</v>
      </c>
      <c r="C85" s="110"/>
      <c r="D85" s="110"/>
      <c r="E85" s="110"/>
      <c r="F85" s="110"/>
    </row>
    <row r="86" spans="2:6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86"/>
  <sheetViews>
    <sheetView topLeftCell="A40" workbookViewId="0">
      <selection activeCell="E54" sqref="E54:E55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0.28515625" bestFit="1" customWidth="1"/>
    <col min="9" max="9" width="10.5703125" bestFit="1" customWidth="1"/>
  </cols>
  <sheetData>
    <row r="1" spans="1:10" ht="15.75">
      <c r="A1" s="3"/>
      <c r="B1" s="3"/>
      <c r="C1" s="3" t="s">
        <v>79</v>
      </c>
      <c r="D1" s="3"/>
      <c r="E1" s="3"/>
      <c r="F1" s="3"/>
    </row>
    <row r="2" spans="1:10" ht="51" customHeight="1">
      <c r="A2" s="3"/>
      <c r="B2" s="3"/>
      <c r="C2" s="97" t="s">
        <v>80</v>
      </c>
      <c r="D2" s="97"/>
      <c r="E2" s="97"/>
      <c r="F2" s="97"/>
    </row>
    <row r="3" spans="1:10" ht="69.75" customHeight="1">
      <c r="A3" s="98" t="s">
        <v>81</v>
      </c>
      <c r="B3" s="98"/>
      <c r="C3" s="98"/>
      <c r="D3" s="98"/>
      <c r="E3" s="98"/>
      <c r="F3" s="98"/>
    </row>
    <row r="4" spans="1:10" ht="38.25" customHeight="1">
      <c r="A4" s="6" t="s">
        <v>82</v>
      </c>
      <c r="B4" s="6"/>
      <c r="C4" s="7"/>
      <c r="D4" s="5"/>
      <c r="E4" s="5"/>
      <c r="F4" s="5"/>
    </row>
    <row r="5" spans="1:10" ht="19.5" customHeight="1">
      <c r="A5" s="8" t="s">
        <v>83</v>
      </c>
      <c r="B5" s="8">
        <v>5190907139</v>
      </c>
      <c r="C5" s="9"/>
      <c r="D5" s="4"/>
      <c r="E5" s="4"/>
      <c r="F5" s="4"/>
    </row>
    <row r="6" spans="1:10" ht="19.5" customHeight="1">
      <c r="A6" s="8" t="s">
        <v>84</v>
      </c>
      <c r="B6" s="8">
        <v>519950001</v>
      </c>
      <c r="C6" s="9"/>
      <c r="D6" s="4"/>
      <c r="E6" s="4"/>
      <c r="F6" s="4"/>
    </row>
    <row r="7" spans="1:10" ht="19.5" customHeight="1">
      <c r="A7" s="8" t="s">
        <v>86</v>
      </c>
      <c r="B7" s="8"/>
      <c r="C7" s="9"/>
      <c r="D7" s="68"/>
      <c r="E7" s="4"/>
      <c r="F7" s="4"/>
    </row>
    <row r="8" spans="1:10" ht="15.75">
      <c r="A8" s="3"/>
      <c r="B8" s="3"/>
      <c r="C8" s="3"/>
      <c r="D8" s="3"/>
      <c r="E8" s="3"/>
      <c r="F8" s="3"/>
    </row>
    <row r="9" spans="1:10" ht="15.75">
      <c r="A9" s="99" t="s">
        <v>18</v>
      </c>
      <c r="B9" s="99" t="s">
        <v>0</v>
      </c>
      <c r="C9" s="99" t="s">
        <v>19</v>
      </c>
      <c r="D9" s="100" t="s">
        <v>130</v>
      </c>
      <c r="E9" s="101"/>
      <c r="F9" s="102" t="s">
        <v>1</v>
      </c>
    </row>
    <row r="10" spans="1:10" ht="42.75" customHeight="1">
      <c r="A10" s="99"/>
      <c r="B10" s="99"/>
      <c r="C10" s="99"/>
      <c r="D10" s="64" t="s">
        <v>129</v>
      </c>
      <c r="E10" s="64" t="s">
        <v>87</v>
      </c>
      <c r="F10" s="103"/>
    </row>
    <row r="11" spans="1:10" ht="24.95" customHeight="1">
      <c r="A11" s="61" t="s">
        <v>20</v>
      </c>
      <c r="B11" s="15" t="s">
        <v>21</v>
      </c>
      <c r="C11" s="61" t="s">
        <v>22</v>
      </c>
      <c r="D11" s="61" t="s">
        <v>22</v>
      </c>
      <c r="E11" s="61" t="s">
        <v>22</v>
      </c>
      <c r="F11" s="61" t="s">
        <v>22</v>
      </c>
      <c r="G11" s="94" t="s">
        <v>132</v>
      </c>
      <c r="H11" s="94" t="s">
        <v>133</v>
      </c>
      <c r="I11" s="94" t="s">
        <v>134</v>
      </c>
    </row>
    <row r="12" spans="1:10" ht="30" customHeight="1">
      <c r="A12" s="61">
        <v>1</v>
      </c>
      <c r="B12" s="16" t="s">
        <v>23</v>
      </c>
      <c r="C12" s="17" t="s">
        <v>24</v>
      </c>
      <c r="D12" s="32">
        <f>D13+D37+D51</f>
        <v>169100.86099999998</v>
      </c>
      <c r="E12" s="32">
        <f>E13+E37+E51</f>
        <v>169746.96799999999</v>
      </c>
      <c r="F12" s="19"/>
      <c r="G12" s="95">
        <v>156384.67000000001</v>
      </c>
      <c r="H12" s="95">
        <v>244.50299999999999</v>
      </c>
      <c r="I12" s="95">
        <f>G12+H12</f>
        <v>156629.17300000001</v>
      </c>
    </row>
    <row r="13" spans="1:10" ht="24.95" customHeight="1">
      <c r="A13" s="20" t="s">
        <v>2</v>
      </c>
      <c r="B13" s="16" t="s">
        <v>25</v>
      </c>
      <c r="C13" s="17" t="s">
        <v>24</v>
      </c>
      <c r="D13" s="32">
        <f>D14+D19+D24+D35+D36</f>
        <v>91698.81</v>
      </c>
      <c r="E13" s="32">
        <f>E14+E19+E24+E35+E36</f>
        <v>99302.982999999993</v>
      </c>
      <c r="F13" s="19"/>
      <c r="G13" s="2"/>
      <c r="H13" s="2"/>
    </row>
    <row r="14" spans="1:10" ht="24.95" customHeight="1">
      <c r="A14" s="21" t="s">
        <v>3</v>
      </c>
      <c r="B14" s="16" t="s">
        <v>26</v>
      </c>
      <c r="C14" s="17" t="s">
        <v>24</v>
      </c>
      <c r="D14" s="32">
        <f>D15+D17</f>
        <v>4799.8459999999995</v>
      </c>
      <c r="E14" s="32">
        <f>E15+E17</f>
        <v>4786.3509999999997</v>
      </c>
      <c r="F14" s="19"/>
      <c r="G14" s="2"/>
    </row>
    <row r="15" spans="1:10" ht="24.95" customHeight="1">
      <c r="A15" s="61" t="s">
        <v>27</v>
      </c>
      <c r="B15" s="15" t="s">
        <v>28</v>
      </c>
      <c r="C15" s="61" t="s">
        <v>24</v>
      </c>
      <c r="D15" s="22">
        <v>4385.7079999999996</v>
      </c>
      <c r="E15" s="22">
        <f>5568.562-123.339-1292.288</f>
        <v>4152.9349999999995</v>
      </c>
      <c r="F15" s="62"/>
      <c r="G15" s="2"/>
    </row>
    <row r="16" spans="1:10" ht="24.95" customHeight="1">
      <c r="A16" s="61" t="s">
        <v>29</v>
      </c>
      <c r="B16" s="37" t="s">
        <v>33</v>
      </c>
      <c r="C16" s="61" t="s">
        <v>24</v>
      </c>
      <c r="D16" s="46"/>
      <c r="E16" s="22">
        <f>826.482+484.366+18.576+10.942+4.302</f>
        <v>1344.6679999999999</v>
      </c>
      <c r="F16" s="62"/>
      <c r="G16" s="2"/>
      <c r="H16" s="2"/>
      <c r="J16" s="2"/>
    </row>
    <row r="17" spans="1:7" ht="51" customHeight="1">
      <c r="A17" s="61" t="s">
        <v>30</v>
      </c>
      <c r="B17" s="15" t="s">
        <v>31</v>
      </c>
      <c r="C17" s="61" t="s">
        <v>24</v>
      </c>
      <c r="D17" s="22">
        <v>414.13799999999998</v>
      </c>
      <c r="E17" s="22">
        <f>184.243+434.661+14.512</f>
        <v>633.41599999999994</v>
      </c>
      <c r="F17" s="62"/>
      <c r="G17" s="2"/>
    </row>
    <row r="18" spans="1:7" ht="24.95" customHeight="1">
      <c r="A18" s="61" t="s">
        <v>32</v>
      </c>
      <c r="B18" s="37" t="s">
        <v>33</v>
      </c>
      <c r="C18" s="61" t="s">
        <v>24</v>
      </c>
      <c r="D18" s="22"/>
      <c r="E18" s="71"/>
      <c r="F18" s="62"/>
    </row>
    <row r="19" spans="1:7" ht="24.95" customHeight="1">
      <c r="A19" s="25" t="s">
        <v>4</v>
      </c>
      <c r="B19" s="15" t="s">
        <v>9</v>
      </c>
      <c r="C19" s="61" t="s">
        <v>24</v>
      </c>
      <c r="D19" s="22">
        <f>D20+D21</f>
        <v>77357.784</v>
      </c>
      <c r="E19" s="22">
        <f>E20+E21+E22</f>
        <v>76000.383000000002</v>
      </c>
      <c r="F19" s="66"/>
    </row>
    <row r="20" spans="1:7" ht="24.95" customHeight="1" outlineLevel="1">
      <c r="A20" s="47"/>
      <c r="B20" s="48" t="s">
        <v>123</v>
      </c>
      <c r="C20" s="49" t="s">
        <v>24</v>
      </c>
      <c r="D20" s="50">
        <f>77357.784-1382.682</f>
        <v>75975.101999999999</v>
      </c>
      <c r="E20" s="50">
        <v>74521.394</v>
      </c>
      <c r="F20" s="51"/>
    </row>
    <row r="21" spans="1:7" ht="24.95" customHeight="1" outlineLevel="1">
      <c r="A21" s="47"/>
      <c r="B21" s="48" t="s">
        <v>124</v>
      </c>
      <c r="C21" s="49" t="s">
        <v>24</v>
      </c>
      <c r="D21" s="50">
        <v>1382.682</v>
      </c>
      <c r="E21" s="50">
        <f>999.864+27.936+59.787</f>
        <v>1087.587</v>
      </c>
      <c r="F21" s="52"/>
    </row>
    <row r="22" spans="1:7" ht="24.95" customHeight="1" outlineLevel="1">
      <c r="A22" s="47"/>
      <c r="B22" s="48" t="s">
        <v>125</v>
      </c>
      <c r="C22" s="49" t="s">
        <v>24</v>
      </c>
      <c r="D22" s="50"/>
      <c r="E22" s="50">
        <f>31.914+125.421+1.09+232.977</f>
        <v>391.40200000000004</v>
      </c>
      <c r="F22" s="52"/>
    </row>
    <row r="23" spans="1:7" ht="24.95" customHeight="1">
      <c r="A23" s="63" t="s">
        <v>34</v>
      </c>
      <c r="B23" s="37" t="s">
        <v>33</v>
      </c>
      <c r="C23" s="61" t="s">
        <v>24</v>
      </c>
      <c r="D23" s="22"/>
      <c r="E23" s="41">
        <f>6000.681+860.393</f>
        <v>6861.0739999999996</v>
      </c>
      <c r="F23" s="62"/>
    </row>
    <row r="24" spans="1:7" ht="24.95" customHeight="1">
      <c r="A24" s="27" t="s">
        <v>5</v>
      </c>
      <c r="B24" s="15" t="s">
        <v>35</v>
      </c>
      <c r="C24" s="61" t="s">
        <v>24</v>
      </c>
      <c r="D24" s="22">
        <f>D25+D26+D27</f>
        <v>9541.18</v>
      </c>
      <c r="E24" s="22">
        <f>E25+E26+E27</f>
        <v>18516.249</v>
      </c>
      <c r="F24" s="62"/>
    </row>
    <row r="25" spans="1:7" ht="34.5" customHeight="1">
      <c r="A25" s="63" t="s">
        <v>36</v>
      </c>
      <c r="B25" s="15" t="s">
        <v>37</v>
      </c>
      <c r="C25" s="61" t="s">
        <v>24</v>
      </c>
      <c r="D25" s="22">
        <v>435.483</v>
      </c>
      <c r="E25" s="22">
        <v>244.50299999999999</v>
      </c>
      <c r="F25" s="66"/>
      <c r="G25" s="80"/>
    </row>
    <row r="26" spans="1:7" ht="24.95" customHeight="1">
      <c r="A26" s="63" t="s">
        <v>38</v>
      </c>
      <c r="B26" s="15" t="s">
        <v>39</v>
      </c>
      <c r="C26" s="61" t="s">
        <v>24</v>
      </c>
      <c r="D26" s="22">
        <v>486.702</v>
      </c>
      <c r="E26" s="22">
        <f>363.472+64.394</f>
        <v>427.86599999999999</v>
      </c>
      <c r="F26" s="62"/>
    </row>
    <row r="27" spans="1:7" ht="24.95" customHeight="1">
      <c r="A27" s="63" t="s">
        <v>40</v>
      </c>
      <c r="B27" s="28" t="s">
        <v>41</v>
      </c>
      <c r="C27" s="61" t="s">
        <v>24</v>
      </c>
      <c r="D27" s="22">
        <f>SUM(D28:D34)</f>
        <v>8618.9950000000008</v>
      </c>
      <c r="E27" s="22">
        <f>SUM(E28:E34)</f>
        <v>17843.88</v>
      </c>
      <c r="F27" s="62"/>
    </row>
    <row r="28" spans="1:7" ht="40.5" customHeight="1">
      <c r="A28" s="63" t="s">
        <v>103</v>
      </c>
      <c r="B28" s="76" t="s">
        <v>104</v>
      </c>
      <c r="C28" s="63" t="s">
        <v>24</v>
      </c>
      <c r="D28" s="22">
        <v>2356.739</v>
      </c>
      <c r="E28" s="22">
        <f>717.588+943.4</f>
        <v>1660.9879999999998</v>
      </c>
      <c r="F28" s="62"/>
    </row>
    <row r="29" spans="1:7" ht="24.95" customHeight="1">
      <c r="A29" s="63" t="s">
        <v>105</v>
      </c>
      <c r="B29" s="15" t="s">
        <v>106</v>
      </c>
      <c r="C29" s="63" t="s">
        <v>24</v>
      </c>
      <c r="D29" s="77">
        <f>941.09+914.261+169.782</f>
        <v>2025.133</v>
      </c>
      <c r="E29" s="22">
        <f>117+62.974+195.404+5.085+147.576+35.18+670.388</f>
        <v>1233.607</v>
      </c>
      <c r="F29" s="62"/>
    </row>
    <row r="30" spans="1:7" ht="24.95" customHeight="1">
      <c r="A30" s="63" t="s">
        <v>110</v>
      </c>
      <c r="B30" s="15" t="s">
        <v>107</v>
      </c>
      <c r="C30" s="63" t="s">
        <v>24</v>
      </c>
      <c r="D30" s="22">
        <v>88.043999999999997</v>
      </c>
      <c r="E30" s="22">
        <v>0</v>
      </c>
      <c r="F30" s="62"/>
    </row>
    <row r="31" spans="1:7" ht="24.95" customHeight="1">
      <c r="A31" s="63" t="s">
        <v>111</v>
      </c>
      <c r="B31" s="15" t="s">
        <v>108</v>
      </c>
      <c r="C31" s="63" t="s">
        <v>24</v>
      </c>
      <c r="D31" s="22">
        <v>51.061999999999998</v>
      </c>
      <c r="E31" s="22">
        <v>106.3</v>
      </c>
      <c r="F31" s="62"/>
    </row>
    <row r="32" spans="1:7" ht="34.5" customHeight="1">
      <c r="A32" s="63" t="s">
        <v>112</v>
      </c>
      <c r="B32" s="30" t="s">
        <v>109</v>
      </c>
      <c r="C32" s="63" t="s">
        <v>24</v>
      </c>
      <c r="D32" s="22">
        <v>1441.009</v>
      </c>
      <c r="E32" s="22">
        <f>123.339+1292.288+527.134</f>
        <v>1942.761</v>
      </c>
      <c r="F32" s="62"/>
    </row>
    <row r="33" spans="1:8" ht="34.5" customHeight="1">
      <c r="A33" s="63" t="s">
        <v>113</v>
      </c>
      <c r="B33" s="30" t="s">
        <v>115</v>
      </c>
      <c r="C33" s="63" t="s">
        <v>24</v>
      </c>
      <c r="D33" s="22">
        <v>199.37200000000001</v>
      </c>
      <c r="E33" s="22">
        <v>272.21300000000002</v>
      </c>
      <c r="F33" s="62"/>
    </row>
    <row r="34" spans="1:8" ht="24.95" customHeight="1">
      <c r="A34" s="63" t="s">
        <v>114</v>
      </c>
      <c r="B34" s="15" t="s">
        <v>116</v>
      </c>
      <c r="C34" s="63" t="s">
        <v>24</v>
      </c>
      <c r="D34" s="22">
        <v>2457.636</v>
      </c>
      <c r="E34" s="22">
        <f>12221.181+114.424+292.406</f>
        <v>12628.011000000002</v>
      </c>
      <c r="F34" s="62"/>
    </row>
    <row r="35" spans="1:8" ht="36.75" customHeight="1">
      <c r="A35" s="27" t="s">
        <v>88</v>
      </c>
      <c r="B35" s="15" t="s">
        <v>42</v>
      </c>
      <c r="C35" s="61" t="s">
        <v>24</v>
      </c>
      <c r="D35" s="22"/>
      <c r="E35" s="46"/>
      <c r="F35" s="62"/>
    </row>
    <row r="36" spans="1:8" ht="24.95" customHeight="1">
      <c r="A36" s="27" t="s">
        <v>89</v>
      </c>
      <c r="B36" s="15" t="s">
        <v>43</v>
      </c>
      <c r="C36" s="61" t="s">
        <v>24</v>
      </c>
      <c r="D36" s="22"/>
      <c r="E36" s="46"/>
      <c r="F36" s="62"/>
    </row>
    <row r="37" spans="1:8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77402.050999999992</v>
      </c>
      <c r="E37" s="32">
        <f>SUM(E38:E47)+E49+E50</f>
        <v>70443.985000000001</v>
      </c>
      <c r="F37" s="33"/>
    </row>
    <row r="38" spans="1:8" ht="24.95" customHeight="1">
      <c r="A38" s="27" t="s">
        <v>7</v>
      </c>
      <c r="B38" s="15" t="s">
        <v>45</v>
      </c>
      <c r="C38" s="61" t="s">
        <v>24</v>
      </c>
      <c r="D38" s="22"/>
      <c r="E38" s="71"/>
      <c r="F38" s="62"/>
    </row>
    <row r="39" spans="1:8" ht="33.75" customHeight="1">
      <c r="A39" s="27" t="s">
        <v>8</v>
      </c>
      <c r="B39" s="15" t="s">
        <v>46</v>
      </c>
      <c r="C39" s="61" t="s">
        <v>24</v>
      </c>
      <c r="D39" s="22"/>
      <c r="E39" s="71"/>
      <c r="F39" s="62"/>
    </row>
    <row r="40" spans="1:8" ht="24.95" customHeight="1">
      <c r="A40" s="27" t="s">
        <v>11</v>
      </c>
      <c r="B40" s="15" t="s">
        <v>47</v>
      </c>
      <c r="C40" s="61" t="s">
        <v>24</v>
      </c>
      <c r="D40" s="1">
        <v>29677.93</v>
      </c>
      <c r="E40" s="75">
        <v>30144.300999999999</v>
      </c>
      <c r="F40" s="62"/>
    </row>
    <row r="41" spans="1:8" ht="24.95" customHeight="1">
      <c r="A41" s="27" t="s">
        <v>12</v>
      </c>
      <c r="B41" s="15" t="s">
        <v>10</v>
      </c>
      <c r="C41" s="61" t="s">
        <v>24</v>
      </c>
      <c r="D41" s="1">
        <v>22948.822</v>
      </c>
      <c r="E41" s="75">
        <v>22444.547999999999</v>
      </c>
      <c r="F41" s="62"/>
    </row>
    <row r="42" spans="1:8" ht="36.75" customHeight="1">
      <c r="A42" s="27" t="s">
        <v>14</v>
      </c>
      <c r="B42" s="15" t="s">
        <v>48</v>
      </c>
      <c r="C42" s="61" t="s">
        <v>24</v>
      </c>
      <c r="D42" s="22"/>
      <c r="E42" s="71"/>
      <c r="F42" s="62"/>
    </row>
    <row r="43" spans="1:8" ht="24.95" customHeight="1">
      <c r="A43" s="27" t="s">
        <v>16</v>
      </c>
      <c r="B43" s="15" t="s">
        <v>49</v>
      </c>
      <c r="C43" s="61" t="s">
        <v>24</v>
      </c>
      <c r="D43" s="1">
        <v>1815.9459999999999</v>
      </c>
      <c r="E43" s="75">
        <v>2410.3519999999999</v>
      </c>
      <c r="F43" s="62"/>
      <c r="G43" s="2"/>
    </row>
    <row r="44" spans="1:8" ht="24.95" customHeight="1">
      <c r="A44" s="27" t="s">
        <v>17</v>
      </c>
      <c r="B44" s="15" t="s">
        <v>50</v>
      </c>
      <c r="C44" s="61" t="s">
        <v>24</v>
      </c>
      <c r="D44" s="22">
        <v>14796.584999999999</v>
      </c>
      <c r="E44" s="85">
        <f>12415.253</f>
        <v>12415.253000000001</v>
      </c>
      <c r="F44" s="96" t="s">
        <v>135</v>
      </c>
      <c r="G44" s="2"/>
      <c r="H44" s="2"/>
    </row>
    <row r="45" spans="1:8" ht="24.95" customHeight="1">
      <c r="A45" s="27" t="s">
        <v>91</v>
      </c>
      <c r="B45" s="15" t="s">
        <v>13</v>
      </c>
      <c r="C45" s="61" t="s">
        <v>24</v>
      </c>
      <c r="D45" s="1">
        <v>3808.0169999999998</v>
      </c>
      <c r="E45" s="83">
        <v>0</v>
      </c>
      <c r="F45" s="62"/>
    </row>
    <row r="46" spans="1:8" ht="24.95" customHeight="1">
      <c r="A46" s="27" t="s">
        <v>90</v>
      </c>
      <c r="B46" s="15" t="s">
        <v>15</v>
      </c>
      <c r="C46" s="61" t="s">
        <v>24</v>
      </c>
      <c r="D46" s="1">
        <f>202.48+105.105</f>
        <v>307.58499999999998</v>
      </c>
      <c r="E46" s="75">
        <v>113.916</v>
      </c>
      <c r="F46" s="62"/>
    </row>
    <row r="47" spans="1:8" ht="54" customHeight="1">
      <c r="A47" s="27" t="s">
        <v>92</v>
      </c>
      <c r="B47" s="15" t="s">
        <v>51</v>
      </c>
      <c r="C47" s="63" t="s">
        <v>24</v>
      </c>
      <c r="D47" s="1">
        <v>703.29</v>
      </c>
      <c r="E47" s="75">
        <f>168.901+169.243-25.17+97.628-0.466</f>
        <v>410.13599999999997</v>
      </c>
      <c r="F47" s="62"/>
    </row>
    <row r="48" spans="1:8" ht="24.95" customHeight="1">
      <c r="A48" s="63" t="s">
        <v>52</v>
      </c>
      <c r="B48" s="15" t="s">
        <v>53</v>
      </c>
      <c r="C48" s="61" t="s">
        <v>54</v>
      </c>
      <c r="D48" s="78">
        <v>108</v>
      </c>
      <c r="E48" s="82">
        <v>55</v>
      </c>
      <c r="F48" s="62"/>
    </row>
    <row r="49" spans="1:10" ht="104.25" customHeight="1">
      <c r="A49" s="27" t="s">
        <v>93</v>
      </c>
      <c r="B49" s="15" t="s">
        <v>55</v>
      </c>
      <c r="C49" s="61" t="s">
        <v>24</v>
      </c>
      <c r="D49" s="22"/>
      <c r="E49" s="71"/>
      <c r="F49" s="62"/>
    </row>
    <row r="50" spans="1:10" ht="24.95" customHeight="1">
      <c r="A50" s="27" t="s">
        <v>94</v>
      </c>
      <c r="B50" s="15" t="s">
        <v>126</v>
      </c>
      <c r="C50" s="61" t="s">
        <v>24</v>
      </c>
      <c r="D50" s="1">
        <f>584.432+2759.444</f>
        <v>3343.8760000000002</v>
      </c>
      <c r="E50" s="75">
        <f>37.831+912.9+1554.748</f>
        <v>2505.4790000000003</v>
      </c>
      <c r="F50" s="62"/>
    </row>
    <row r="51" spans="1:10" ht="39" customHeight="1">
      <c r="A51" s="60" t="s">
        <v>95</v>
      </c>
      <c r="B51" s="15" t="s">
        <v>56</v>
      </c>
      <c r="C51" s="61" t="s">
        <v>24</v>
      </c>
      <c r="D51" s="41"/>
      <c r="E51" s="71"/>
      <c r="F51" s="62"/>
    </row>
    <row r="52" spans="1:10" ht="44.25" customHeight="1">
      <c r="A52" s="63" t="s">
        <v>57</v>
      </c>
      <c r="B52" s="15" t="s">
        <v>117</v>
      </c>
      <c r="C52" s="61" t="s">
        <v>24</v>
      </c>
      <c r="D52" s="22">
        <f>D16+D18+D23+D28</f>
        <v>2356.739</v>
      </c>
      <c r="E52" s="22">
        <f>E16+E18+E23+E28</f>
        <v>9866.73</v>
      </c>
      <c r="F52" s="62"/>
      <c r="H52" s="2"/>
      <c r="I52" s="2"/>
      <c r="J52" s="2"/>
    </row>
    <row r="53" spans="1:10" ht="39" customHeight="1">
      <c r="A53" s="63" t="s">
        <v>58</v>
      </c>
      <c r="B53" s="16" t="s">
        <v>59</v>
      </c>
      <c r="C53" s="17" t="s">
        <v>24</v>
      </c>
      <c r="D53" s="32">
        <v>23232.974999999999</v>
      </c>
      <c r="E53" s="32">
        <v>28473.531999999999</v>
      </c>
      <c r="F53" s="19"/>
    </row>
    <row r="54" spans="1:10" ht="24.95" customHeight="1">
      <c r="A54" s="104" t="s">
        <v>2</v>
      </c>
      <c r="B54" s="15" t="s">
        <v>60</v>
      </c>
      <c r="C54" s="105" t="s">
        <v>62</v>
      </c>
      <c r="D54" s="108">
        <v>12022.64</v>
      </c>
      <c r="E54" s="109">
        <v>14236.714</v>
      </c>
      <c r="F54" s="107"/>
    </row>
    <row r="55" spans="1:10" ht="24.95" customHeight="1">
      <c r="A55" s="104"/>
      <c r="B55" s="15" t="s">
        <v>61</v>
      </c>
      <c r="C55" s="105"/>
      <c r="D55" s="108"/>
      <c r="E55" s="109"/>
      <c r="F55" s="107"/>
    </row>
    <row r="56" spans="1:10" ht="24.95" customHeight="1">
      <c r="A56" s="104" t="s">
        <v>6</v>
      </c>
      <c r="B56" s="15" t="s">
        <v>60</v>
      </c>
      <c r="C56" s="105" t="s">
        <v>118</v>
      </c>
      <c r="D56" s="106">
        <f>D53/D54*1000</f>
        <v>1932.4353885669036</v>
      </c>
      <c r="E56" s="106">
        <f>E53/E54*1000</f>
        <v>2000.0073050564899</v>
      </c>
      <c r="F56" s="107"/>
    </row>
    <row r="57" spans="1:10" ht="37.5" customHeight="1">
      <c r="A57" s="104"/>
      <c r="B57" s="15" t="s">
        <v>63</v>
      </c>
      <c r="C57" s="105"/>
      <c r="D57" s="106"/>
      <c r="E57" s="106"/>
      <c r="F57" s="107"/>
    </row>
    <row r="58" spans="1:10" ht="53.25" customHeight="1">
      <c r="A58" s="63" t="s">
        <v>64</v>
      </c>
      <c r="B58" s="15" t="s">
        <v>65</v>
      </c>
      <c r="C58" s="67" t="s">
        <v>22</v>
      </c>
      <c r="D58" s="67" t="s">
        <v>22</v>
      </c>
      <c r="E58" s="81" t="s">
        <v>22</v>
      </c>
      <c r="F58" s="67" t="s">
        <v>22</v>
      </c>
      <c r="G58" s="79"/>
    </row>
    <row r="59" spans="1:10" ht="29.25" customHeight="1">
      <c r="A59" s="70">
        <v>1</v>
      </c>
      <c r="B59" s="16" t="s">
        <v>131</v>
      </c>
      <c r="C59" s="17" t="s">
        <v>67</v>
      </c>
      <c r="D59" s="33">
        <v>3818</v>
      </c>
      <c r="E59" s="33">
        <v>3863</v>
      </c>
      <c r="F59" s="19"/>
    </row>
    <row r="60" spans="1:10" ht="24.95" customHeight="1">
      <c r="A60" s="70">
        <v>2</v>
      </c>
      <c r="B60" s="16" t="s">
        <v>68</v>
      </c>
      <c r="C60" s="17" t="s">
        <v>69</v>
      </c>
      <c r="D60" s="33">
        <v>118.3</v>
      </c>
      <c r="E60" s="33">
        <v>116.134</v>
      </c>
      <c r="F60" s="19"/>
    </row>
    <row r="61" spans="1:10" ht="24.95" customHeight="1">
      <c r="A61" s="63"/>
      <c r="B61" s="67" t="s">
        <v>119</v>
      </c>
      <c r="C61" s="67" t="s">
        <v>69</v>
      </c>
      <c r="D61" s="41">
        <v>20</v>
      </c>
      <c r="E61" s="41">
        <v>20</v>
      </c>
      <c r="F61" s="41"/>
    </row>
    <row r="62" spans="1:10" ht="37.5" customHeight="1">
      <c r="A62" s="63"/>
      <c r="B62" s="67" t="s">
        <v>120</v>
      </c>
      <c r="C62" s="67" t="s">
        <v>69</v>
      </c>
      <c r="D62" s="41">
        <f>D60-D61</f>
        <v>98.3</v>
      </c>
      <c r="E62" s="41">
        <f>E60-E61</f>
        <v>96.134</v>
      </c>
      <c r="F62" s="41"/>
    </row>
    <row r="63" spans="1:10" ht="24.95" customHeight="1">
      <c r="A63" s="63">
        <v>3</v>
      </c>
      <c r="B63" s="16" t="s">
        <v>70</v>
      </c>
      <c r="C63" s="17" t="s">
        <v>71</v>
      </c>
      <c r="D63" s="72">
        <f>D64+D65+D66</f>
        <v>1049.92</v>
      </c>
      <c r="E63" s="32">
        <f>E64+E65+E66</f>
        <v>1052.4870000000001</v>
      </c>
      <c r="F63" s="62"/>
      <c r="G63" s="2"/>
    </row>
    <row r="64" spans="1:10" ht="35.25" customHeight="1">
      <c r="A64" s="63"/>
      <c r="B64" s="67" t="s">
        <v>119</v>
      </c>
      <c r="C64" s="67" t="s">
        <v>71</v>
      </c>
      <c r="D64" s="41"/>
      <c r="E64" s="74"/>
      <c r="F64" s="41"/>
    </row>
    <row r="65" spans="1:7" ht="35.25" customHeight="1">
      <c r="A65" s="63"/>
      <c r="B65" s="67" t="s">
        <v>120</v>
      </c>
      <c r="C65" s="67" t="s">
        <v>71</v>
      </c>
      <c r="D65" s="73">
        <v>625.44000000000005</v>
      </c>
      <c r="E65" s="22">
        <v>625.44100000000003</v>
      </c>
      <c r="F65" s="41"/>
    </row>
    <row r="66" spans="1:7" ht="35.25" customHeight="1">
      <c r="A66" s="63"/>
      <c r="B66" s="67" t="s">
        <v>121</v>
      </c>
      <c r="C66" s="67" t="s">
        <v>71</v>
      </c>
      <c r="D66" s="41">
        <v>424.48</v>
      </c>
      <c r="E66" s="22">
        <v>427.04599999999999</v>
      </c>
      <c r="F66" s="41"/>
    </row>
    <row r="67" spans="1:7" ht="24.95" customHeight="1">
      <c r="A67" s="63">
        <v>4</v>
      </c>
      <c r="B67" s="16" t="s">
        <v>72</v>
      </c>
      <c r="C67" s="17" t="s">
        <v>71</v>
      </c>
      <c r="D67" s="72">
        <f>D68+D69+D70</f>
        <v>1965.1</v>
      </c>
      <c r="E67" s="72">
        <f>E68+E69+E70</f>
        <v>1965.1</v>
      </c>
      <c r="F67" s="62"/>
    </row>
    <row r="68" spans="1:7" ht="24.95" customHeight="1">
      <c r="A68" s="63"/>
      <c r="B68" s="37" t="s">
        <v>119</v>
      </c>
      <c r="C68" s="61" t="s">
        <v>71</v>
      </c>
      <c r="D68" s="74">
        <v>92</v>
      </c>
      <c r="E68" s="84">
        <v>92</v>
      </c>
      <c r="F68" s="62"/>
    </row>
    <row r="69" spans="1:7" ht="24.95" customHeight="1">
      <c r="A69" s="63"/>
      <c r="B69" s="37" t="s">
        <v>120</v>
      </c>
      <c r="C69" s="61" t="s">
        <v>71</v>
      </c>
      <c r="D69" s="73">
        <v>1873.1</v>
      </c>
      <c r="E69" s="84">
        <v>1873.1</v>
      </c>
      <c r="F69" s="62"/>
    </row>
    <row r="70" spans="1:7" ht="24.95" customHeight="1">
      <c r="A70" s="63"/>
      <c r="B70" s="37" t="s">
        <v>121</v>
      </c>
      <c r="C70" s="61" t="s">
        <v>71</v>
      </c>
      <c r="D70" s="41"/>
      <c r="E70" s="82"/>
      <c r="F70" s="62"/>
    </row>
    <row r="71" spans="1:7" ht="24.95" customHeight="1">
      <c r="A71" s="63">
        <v>5</v>
      </c>
      <c r="B71" s="16" t="s">
        <v>73</v>
      </c>
      <c r="C71" s="17" t="s">
        <v>74</v>
      </c>
      <c r="D71" s="33">
        <f>D73+D74</f>
        <v>389.97500000000002</v>
      </c>
      <c r="E71" s="32">
        <f>E73+E74</f>
        <v>391.00300000000004</v>
      </c>
      <c r="F71" s="62"/>
      <c r="G71" s="2"/>
    </row>
    <row r="72" spans="1:7" ht="24.95" customHeight="1">
      <c r="A72" s="63"/>
      <c r="B72" s="37" t="s">
        <v>119</v>
      </c>
      <c r="C72" s="61" t="s">
        <v>74</v>
      </c>
      <c r="D72" s="41"/>
      <c r="E72" s="82"/>
      <c r="F72" s="62"/>
    </row>
    <row r="73" spans="1:7" ht="24.95" customHeight="1">
      <c r="A73" s="63"/>
      <c r="B73" s="37" t="s">
        <v>120</v>
      </c>
      <c r="C73" s="61" t="s">
        <v>74</v>
      </c>
      <c r="D73" s="22">
        <v>229.11</v>
      </c>
      <c r="E73" s="22">
        <v>229.11</v>
      </c>
      <c r="F73" s="41"/>
    </row>
    <row r="74" spans="1:7" ht="24.95" customHeight="1">
      <c r="A74" s="63"/>
      <c r="B74" s="37" t="s">
        <v>121</v>
      </c>
      <c r="C74" s="61" t="s">
        <v>74</v>
      </c>
      <c r="D74" s="41">
        <v>160.86500000000001</v>
      </c>
      <c r="E74" s="22">
        <v>161.893</v>
      </c>
      <c r="F74" s="41"/>
    </row>
    <row r="75" spans="1:7" ht="24.95" customHeight="1">
      <c r="A75" s="63">
        <v>6</v>
      </c>
      <c r="B75" s="15" t="s">
        <v>75</v>
      </c>
      <c r="C75" s="61" t="s">
        <v>76</v>
      </c>
      <c r="D75" s="74">
        <f>(145.624+135.518)/D71*100</f>
        <v>72.092313609846784</v>
      </c>
      <c r="E75" s="74">
        <f>(145.624+136.133)/E71*100</f>
        <v>72.060060920248688</v>
      </c>
      <c r="F75" s="62"/>
    </row>
    <row r="76" spans="1:7" ht="38.25" customHeight="1">
      <c r="A76" s="63">
        <v>7</v>
      </c>
      <c r="B76" s="15" t="s">
        <v>77</v>
      </c>
      <c r="C76" s="61" t="s">
        <v>24</v>
      </c>
      <c r="D76" s="71"/>
      <c r="E76" s="82">
        <f>14369.026-33.89</f>
        <v>14335.136</v>
      </c>
      <c r="F76" s="24"/>
    </row>
    <row r="77" spans="1:7" ht="24.95" customHeight="1">
      <c r="A77" s="60" t="s">
        <v>85</v>
      </c>
      <c r="B77" s="15" t="s">
        <v>78</v>
      </c>
      <c r="C77" s="61" t="s">
        <v>24</v>
      </c>
      <c r="D77" s="71"/>
      <c r="E77" s="82">
        <v>137.827</v>
      </c>
      <c r="F77" s="62"/>
    </row>
    <row r="78" spans="1:7" ht="41.25" customHeight="1">
      <c r="A78" s="40">
        <v>8</v>
      </c>
      <c r="B78" s="41" t="s">
        <v>127</v>
      </c>
      <c r="C78" s="63" t="s">
        <v>76</v>
      </c>
      <c r="D78" s="69" t="s">
        <v>128</v>
      </c>
      <c r="E78" s="63" t="s">
        <v>96</v>
      </c>
      <c r="F78" s="63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65" t="s">
        <v>97</v>
      </c>
    </row>
    <row r="81" spans="2:6" s="11" customFormat="1" ht="57.75" customHeight="1">
      <c r="B81" s="110" t="s">
        <v>98</v>
      </c>
      <c r="C81" s="110"/>
      <c r="D81" s="110"/>
      <c r="E81" s="110"/>
      <c r="F81" s="110"/>
    </row>
    <row r="82" spans="2:6" s="11" customFormat="1" ht="30.75" customHeight="1">
      <c r="B82" s="110" t="s">
        <v>99</v>
      </c>
      <c r="C82" s="110"/>
      <c r="D82" s="110"/>
      <c r="E82" s="110"/>
      <c r="F82" s="110"/>
    </row>
    <row r="83" spans="2:6" s="11" customFormat="1" ht="33.75" customHeight="1">
      <c r="B83" s="111" t="s">
        <v>100</v>
      </c>
      <c r="C83" s="111"/>
      <c r="D83" s="111"/>
      <c r="E83" s="111"/>
      <c r="F83" s="111"/>
    </row>
    <row r="84" spans="2:6" s="11" customFormat="1" ht="34.5" customHeight="1">
      <c r="B84" s="110" t="s">
        <v>101</v>
      </c>
      <c r="C84" s="110"/>
      <c r="D84" s="110"/>
      <c r="E84" s="110"/>
      <c r="F84" s="110"/>
    </row>
    <row r="85" spans="2:6" s="11" customFormat="1" ht="50.1" customHeight="1">
      <c r="B85" s="110" t="s">
        <v>102</v>
      </c>
      <c r="C85" s="110"/>
      <c r="D85" s="110"/>
      <c r="E85" s="110"/>
      <c r="F85" s="110"/>
    </row>
    <row r="86" spans="2:6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86"/>
  <sheetViews>
    <sheetView topLeftCell="A17" workbookViewId="0">
      <selection activeCell="E28" sqref="E28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0.5703125" bestFit="1" customWidth="1"/>
  </cols>
  <sheetData>
    <row r="1" spans="1:7" ht="15.75">
      <c r="A1" s="3"/>
      <c r="B1" s="3"/>
      <c r="C1" s="3" t="s">
        <v>79</v>
      </c>
      <c r="D1" s="3"/>
      <c r="E1" s="3"/>
      <c r="F1" s="3"/>
    </row>
    <row r="2" spans="1:7" ht="51" customHeight="1">
      <c r="A2" s="3"/>
      <c r="B2" s="3"/>
      <c r="C2" s="97" t="s">
        <v>80</v>
      </c>
      <c r="D2" s="97"/>
      <c r="E2" s="97"/>
      <c r="F2" s="97"/>
    </row>
    <row r="3" spans="1:7" ht="69.75" customHeight="1">
      <c r="A3" s="98" t="s">
        <v>81</v>
      </c>
      <c r="B3" s="98"/>
      <c r="C3" s="98"/>
      <c r="D3" s="98"/>
      <c r="E3" s="98"/>
      <c r="F3" s="98"/>
    </row>
    <row r="4" spans="1:7" ht="38.25" customHeight="1">
      <c r="A4" s="6" t="s">
        <v>82</v>
      </c>
      <c r="B4" s="6"/>
      <c r="C4" s="7"/>
      <c r="D4" s="5"/>
      <c r="E4" s="5"/>
      <c r="F4" s="5"/>
    </row>
    <row r="5" spans="1:7" ht="19.5" customHeight="1">
      <c r="A5" s="8" t="s">
        <v>83</v>
      </c>
      <c r="B5" s="8">
        <v>5190907139</v>
      </c>
      <c r="C5" s="9"/>
      <c r="D5" s="4"/>
      <c r="E5" s="4"/>
      <c r="F5" s="4"/>
    </row>
    <row r="6" spans="1:7" ht="19.5" customHeight="1">
      <c r="A6" s="8" t="s">
        <v>84</v>
      </c>
      <c r="B6" s="8">
        <v>519950001</v>
      </c>
      <c r="C6" s="9"/>
      <c r="D6" s="4"/>
      <c r="E6" s="4"/>
      <c r="F6" s="4"/>
    </row>
    <row r="7" spans="1:7" ht="19.5" customHeight="1">
      <c r="A7" s="8" t="s">
        <v>86</v>
      </c>
      <c r="B7" s="8"/>
      <c r="C7" s="9"/>
      <c r="D7" s="4"/>
      <c r="E7" s="4"/>
      <c r="F7" s="4"/>
    </row>
    <row r="8" spans="1:7" ht="15.75">
      <c r="A8" s="3"/>
      <c r="B8" s="3"/>
      <c r="C8" s="3"/>
      <c r="D8" s="3"/>
      <c r="E8" s="3"/>
      <c r="F8" s="3"/>
    </row>
    <row r="9" spans="1:7" ht="15.75">
      <c r="A9" s="99" t="s">
        <v>18</v>
      </c>
      <c r="B9" s="99" t="s">
        <v>0</v>
      </c>
      <c r="C9" s="99" t="s">
        <v>19</v>
      </c>
      <c r="D9" s="100" t="s">
        <v>122</v>
      </c>
      <c r="E9" s="101"/>
      <c r="F9" s="102" t="s">
        <v>1</v>
      </c>
    </row>
    <row r="10" spans="1:7" ht="42.75" customHeight="1">
      <c r="A10" s="99"/>
      <c r="B10" s="99"/>
      <c r="C10" s="99"/>
      <c r="D10" s="55" t="s">
        <v>129</v>
      </c>
      <c r="E10" s="13" t="s">
        <v>87</v>
      </c>
      <c r="F10" s="103"/>
    </row>
    <row r="11" spans="1:7" ht="24.95" customHeight="1">
      <c r="A11" s="14" t="s">
        <v>20</v>
      </c>
      <c r="B11" s="15" t="s">
        <v>21</v>
      </c>
      <c r="C11" s="14" t="s">
        <v>22</v>
      </c>
      <c r="D11" s="14" t="s">
        <v>22</v>
      </c>
      <c r="E11" s="14" t="s">
        <v>22</v>
      </c>
      <c r="F11" s="14" t="s">
        <v>22</v>
      </c>
    </row>
    <row r="12" spans="1:7" ht="30" customHeight="1">
      <c r="A12" s="14">
        <v>1</v>
      </c>
      <c r="B12" s="16" t="s">
        <v>23</v>
      </c>
      <c r="C12" s="17" t="s">
        <v>24</v>
      </c>
      <c r="D12" s="18">
        <f>D13+D37+D51</f>
        <v>163457.48300000001</v>
      </c>
      <c r="E12" s="18">
        <f>E13+E37+E51</f>
        <v>163078.61499999999</v>
      </c>
      <c r="F12" s="19"/>
      <c r="G12" s="2"/>
    </row>
    <row r="13" spans="1:7" ht="24.95" customHeight="1">
      <c r="A13" s="20" t="s">
        <v>2</v>
      </c>
      <c r="B13" s="16" t="s">
        <v>25</v>
      </c>
      <c r="C13" s="17" t="s">
        <v>24</v>
      </c>
      <c r="D13" s="18">
        <f>D14+D19+D24+D35+D36</f>
        <v>89270.342000000004</v>
      </c>
      <c r="E13" s="18">
        <f>E14+E19+E24+E35+E36</f>
        <v>90586.885000000009</v>
      </c>
      <c r="F13" s="19"/>
    </row>
    <row r="14" spans="1:7" ht="24.95" customHeight="1">
      <c r="A14" s="21" t="s">
        <v>3</v>
      </c>
      <c r="B14" s="16" t="s">
        <v>26</v>
      </c>
      <c r="C14" s="17" t="s">
        <v>24</v>
      </c>
      <c r="D14" s="18">
        <f>D15+D17</f>
        <v>4672.7309999999998</v>
      </c>
      <c r="E14" s="18">
        <f>E15+E17</f>
        <v>3260.1549999999997</v>
      </c>
      <c r="F14" s="19"/>
    </row>
    <row r="15" spans="1:7" ht="24.95" customHeight="1">
      <c r="A15" s="14" t="s">
        <v>27</v>
      </c>
      <c r="B15" s="15" t="s">
        <v>28</v>
      </c>
      <c r="C15" s="14" t="s">
        <v>24</v>
      </c>
      <c r="D15" s="22">
        <v>4269.5609999999997</v>
      </c>
      <c r="E15" s="22">
        <v>2907.491</v>
      </c>
      <c r="F15" s="23"/>
    </row>
    <row r="16" spans="1:7" ht="24.95" customHeight="1">
      <c r="A16" s="42" t="s">
        <v>29</v>
      </c>
      <c r="B16" s="37" t="s">
        <v>33</v>
      </c>
      <c r="C16" s="42" t="s">
        <v>24</v>
      </c>
      <c r="D16" s="46"/>
      <c r="E16" s="22">
        <v>325.346</v>
      </c>
      <c r="F16" s="23"/>
    </row>
    <row r="17" spans="1:6" ht="51" customHeight="1">
      <c r="A17" s="14" t="s">
        <v>30</v>
      </c>
      <c r="B17" s="15" t="s">
        <v>31</v>
      </c>
      <c r="C17" s="14" t="s">
        <v>24</v>
      </c>
      <c r="D17" s="22">
        <f>876.983-473.813</f>
        <v>403.16999999999996</v>
      </c>
      <c r="E17" s="22">
        <f>564.97-212.306</f>
        <v>352.66399999999999</v>
      </c>
      <c r="F17" s="23"/>
    </row>
    <row r="18" spans="1:6" ht="24.95" customHeight="1">
      <c r="A18" s="42" t="s">
        <v>32</v>
      </c>
      <c r="B18" s="37" t="s">
        <v>33</v>
      </c>
      <c r="C18" s="42" t="s">
        <v>24</v>
      </c>
      <c r="D18" s="24"/>
      <c r="E18" s="23"/>
      <c r="F18" s="23"/>
    </row>
    <row r="19" spans="1:6" ht="24.95" customHeight="1">
      <c r="A19" s="25" t="s">
        <v>4</v>
      </c>
      <c r="B19" s="15" t="s">
        <v>9</v>
      </c>
      <c r="C19" s="14" t="s">
        <v>24</v>
      </c>
      <c r="D19" s="22">
        <v>75309.11</v>
      </c>
      <c r="E19" s="22">
        <v>74734.214000000007</v>
      </c>
      <c r="F19" s="23"/>
    </row>
    <row r="20" spans="1:6" ht="24.95" hidden="1" customHeight="1" outlineLevel="1">
      <c r="A20" s="47"/>
      <c r="B20" s="48" t="s">
        <v>123</v>
      </c>
      <c r="C20" s="49" t="s">
        <v>24</v>
      </c>
      <c r="D20" s="50">
        <v>73977.039999999994</v>
      </c>
      <c r="E20" s="50">
        <v>73604.788</v>
      </c>
      <c r="F20" s="51"/>
    </row>
    <row r="21" spans="1:6" ht="24.95" hidden="1" customHeight="1" outlineLevel="1">
      <c r="A21" s="47"/>
      <c r="B21" s="48" t="s">
        <v>124</v>
      </c>
      <c r="C21" s="49" t="s">
        <v>24</v>
      </c>
      <c r="D21" s="50">
        <v>1332.07</v>
      </c>
      <c r="E21" s="50">
        <v>963.66800000000001</v>
      </c>
      <c r="F21" s="52"/>
    </row>
    <row r="22" spans="1:6" ht="24.95" hidden="1" customHeight="1" outlineLevel="1">
      <c r="A22" s="47"/>
      <c r="B22" s="48" t="s">
        <v>125</v>
      </c>
      <c r="C22" s="49" t="s">
        <v>24</v>
      </c>
      <c r="D22" s="50"/>
      <c r="E22" s="50">
        <v>165.75800000000001</v>
      </c>
      <c r="F22" s="52"/>
    </row>
    <row r="23" spans="1:6" ht="24.95" customHeight="1" collapsed="1">
      <c r="A23" s="43" t="s">
        <v>34</v>
      </c>
      <c r="B23" s="37" t="s">
        <v>33</v>
      </c>
      <c r="C23" s="42" t="s">
        <v>24</v>
      </c>
      <c r="D23" s="24"/>
      <c r="E23" s="23">
        <f>728.387+5715.832</f>
        <v>6444.2190000000001</v>
      </c>
      <c r="F23" s="23"/>
    </row>
    <row r="24" spans="1:6" ht="24.95" customHeight="1">
      <c r="A24" s="27" t="s">
        <v>5</v>
      </c>
      <c r="B24" s="15" t="s">
        <v>35</v>
      </c>
      <c r="C24" s="14" t="s">
        <v>24</v>
      </c>
      <c r="D24" s="22">
        <f>D25+D26+D27</f>
        <v>9288.5010000000002</v>
      </c>
      <c r="E24" s="22">
        <f>E25+E26+E27</f>
        <v>12592.516000000001</v>
      </c>
      <c r="F24" s="23"/>
    </row>
    <row r="25" spans="1:6" ht="34.5" customHeight="1">
      <c r="A25" s="26" t="s">
        <v>36</v>
      </c>
      <c r="B25" s="15" t="s">
        <v>37</v>
      </c>
      <c r="C25" s="14" t="s">
        <v>24</v>
      </c>
      <c r="D25" s="24">
        <f>423.95</f>
        <v>423.95</v>
      </c>
      <c r="E25" s="24">
        <v>320.40100000000001</v>
      </c>
      <c r="F25" s="23"/>
    </row>
    <row r="26" spans="1:6" ht="24.95" customHeight="1">
      <c r="A26" s="26" t="s">
        <v>38</v>
      </c>
      <c r="B26" s="15" t="s">
        <v>39</v>
      </c>
      <c r="C26" s="14" t="s">
        <v>24</v>
      </c>
      <c r="D26" s="24">
        <v>473.81299999999999</v>
      </c>
      <c r="E26" s="24">
        <v>212.30600000000001</v>
      </c>
      <c r="F26" s="23"/>
    </row>
    <row r="27" spans="1:6" ht="24.95" customHeight="1">
      <c r="A27" s="26" t="s">
        <v>40</v>
      </c>
      <c r="B27" s="28" t="s">
        <v>41</v>
      </c>
      <c r="C27" s="14" t="s">
        <v>24</v>
      </c>
      <c r="D27" s="24">
        <f>SUM(D28:D34)</f>
        <v>8390.7379999999994</v>
      </c>
      <c r="E27" s="24">
        <f>SUM(E28:E34)</f>
        <v>12059.809000000001</v>
      </c>
      <c r="F27" s="23"/>
    </row>
    <row r="28" spans="1:6" ht="40.5" customHeight="1">
      <c r="A28" s="26" t="s">
        <v>103</v>
      </c>
      <c r="B28" s="15" t="s">
        <v>104</v>
      </c>
      <c r="C28" s="26" t="s">
        <v>24</v>
      </c>
      <c r="D28" s="22">
        <v>2294.3249999999998</v>
      </c>
      <c r="E28" s="22">
        <v>1052.163</v>
      </c>
      <c r="F28" s="59"/>
    </row>
    <row r="29" spans="1:6" ht="24.95" customHeight="1">
      <c r="A29" s="26" t="s">
        <v>105</v>
      </c>
      <c r="B29" s="15" t="s">
        <v>106</v>
      </c>
      <c r="C29" s="26" t="s">
        <v>24</v>
      </c>
      <c r="D29" s="29">
        <f>916.167+890.049+165.286</f>
        <v>1971.502</v>
      </c>
      <c r="E29" s="24">
        <f>528.125+166.372+188.637+338.393</f>
        <v>1221.527</v>
      </c>
      <c r="F29" s="23"/>
    </row>
    <row r="30" spans="1:6" ht="24.95" customHeight="1">
      <c r="A30" s="26" t="s">
        <v>110</v>
      </c>
      <c r="B30" s="15" t="s">
        <v>107</v>
      </c>
      <c r="C30" s="26" t="s">
        <v>24</v>
      </c>
      <c r="D30" s="24">
        <v>85.712000000000003</v>
      </c>
      <c r="E30" s="24">
        <v>0</v>
      </c>
      <c r="F30" s="23"/>
    </row>
    <row r="31" spans="1:6" ht="24.95" customHeight="1">
      <c r="A31" s="26" t="s">
        <v>111</v>
      </c>
      <c r="B31" s="15" t="s">
        <v>108</v>
      </c>
      <c r="C31" s="26" t="s">
        <v>24</v>
      </c>
      <c r="D31" s="24">
        <v>49.71</v>
      </c>
      <c r="E31" s="24">
        <v>105.03</v>
      </c>
      <c r="F31" s="23"/>
    </row>
    <row r="32" spans="1:6" ht="34.5" customHeight="1">
      <c r="A32" s="26" t="s">
        <v>112</v>
      </c>
      <c r="B32" s="30" t="s">
        <v>109</v>
      </c>
      <c r="C32" s="26" t="s">
        <v>24</v>
      </c>
      <c r="D32" s="24">
        <v>1402.847</v>
      </c>
      <c r="E32" s="24">
        <v>1483.712</v>
      </c>
      <c r="F32" s="23"/>
    </row>
    <row r="33" spans="1:6" ht="34.5" customHeight="1">
      <c r="A33" s="26" t="s">
        <v>113</v>
      </c>
      <c r="B33" s="30" t="s">
        <v>115</v>
      </c>
      <c r="C33" s="26" t="s">
        <v>24</v>
      </c>
      <c r="D33" s="24">
        <v>194.09200000000001</v>
      </c>
      <c r="E33" s="24">
        <v>234.18799999999999</v>
      </c>
      <c r="F33" s="23"/>
    </row>
    <row r="34" spans="1:6" ht="24.95" customHeight="1">
      <c r="A34" s="26" t="s">
        <v>114</v>
      </c>
      <c r="B34" s="15" t="s">
        <v>116</v>
      </c>
      <c r="C34" s="26" t="s">
        <v>24</v>
      </c>
      <c r="D34" s="24">
        <v>2392.5500000000002</v>
      </c>
      <c r="E34" s="24">
        <f>6972.143+991.046</f>
        <v>7963.1890000000003</v>
      </c>
      <c r="F34" s="23"/>
    </row>
    <row r="35" spans="1:6" ht="36.75" customHeight="1">
      <c r="A35" s="27" t="s">
        <v>88</v>
      </c>
      <c r="B35" s="15" t="s">
        <v>42</v>
      </c>
      <c r="C35" s="14" t="s">
        <v>24</v>
      </c>
      <c r="D35" s="24"/>
      <c r="E35" s="24"/>
      <c r="F35" s="23"/>
    </row>
    <row r="36" spans="1:6" ht="24.95" customHeight="1">
      <c r="A36" s="27" t="s">
        <v>89</v>
      </c>
      <c r="B36" s="15" t="s">
        <v>43</v>
      </c>
      <c r="C36" s="14" t="s">
        <v>24</v>
      </c>
      <c r="D36" s="24"/>
      <c r="E36" s="24"/>
      <c r="F36" s="23"/>
    </row>
    <row r="37" spans="1:6" ht="24.95" customHeight="1">
      <c r="A37" s="31" t="s">
        <v>6</v>
      </c>
      <c r="B37" s="16" t="s">
        <v>44</v>
      </c>
      <c r="C37" s="17" t="s">
        <v>24</v>
      </c>
      <c r="D37" s="32">
        <f>SUM(D38:D47)+D49+D50</f>
        <v>74187.141000000018</v>
      </c>
      <c r="E37" s="32">
        <f>SUM(E38:E47)+E49+E50</f>
        <v>72491.73</v>
      </c>
      <c r="F37" s="33"/>
    </row>
    <row r="38" spans="1:6" ht="24.95" customHeight="1">
      <c r="A38" s="27" t="s">
        <v>7</v>
      </c>
      <c r="B38" s="15" t="s">
        <v>45</v>
      </c>
      <c r="C38" s="14" t="s">
        <v>24</v>
      </c>
      <c r="D38" s="24"/>
      <c r="E38" s="23"/>
      <c r="F38" s="23"/>
    </row>
    <row r="39" spans="1:6" ht="33.75" customHeight="1">
      <c r="A39" s="27" t="s">
        <v>8</v>
      </c>
      <c r="B39" s="15" t="s">
        <v>46</v>
      </c>
      <c r="C39" s="14" t="s">
        <v>24</v>
      </c>
      <c r="D39" s="24"/>
      <c r="E39" s="23"/>
      <c r="F39" s="23"/>
    </row>
    <row r="40" spans="1:6" ht="24.95" customHeight="1">
      <c r="A40" s="27" t="s">
        <v>11</v>
      </c>
      <c r="B40" s="15" t="s">
        <v>47</v>
      </c>
      <c r="C40" s="14" t="s">
        <v>24</v>
      </c>
      <c r="D40" s="1">
        <v>29575.251</v>
      </c>
      <c r="E40" s="1">
        <v>29675.057000000001</v>
      </c>
      <c r="F40" s="23"/>
    </row>
    <row r="41" spans="1:6" ht="24.95" customHeight="1">
      <c r="A41" s="27" t="s">
        <v>12</v>
      </c>
      <c r="B41" s="15" t="s">
        <v>10</v>
      </c>
      <c r="C41" s="14" t="s">
        <v>24</v>
      </c>
      <c r="D41" s="1">
        <v>22341.065999999999</v>
      </c>
      <c r="E41" s="1">
        <v>21966.402999999998</v>
      </c>
      <c r="F41" s="23"/>
    </row>
    <row r="42" spans="1:6" ht="36.75" customHeight="1">
      <c r="A42" s="27" t="s">
        <v>14</v>
      </c>
      <c r="B42" s="15" t="s">
        <v>48</v>
      </c>
      <c r="C42" s="14" t="s">
        <v>24</v>
      </c>
      <c r="D42" s="24"/>
      <c r="E42" s="23"/>
      <c r="F42" s="23"/>
    </row>
    <row r="43" spans="1:6" ht="24.95" customHeight="1">
      <c r="A43" s="27" t="s">
        <v>16</v>
      </c>
      <c r="B43" s="15" t="s">
        <v>49</v>
      </c>
      <c r="C43" s="14" t="s">
        <v>24</v>
      </c>
      <c r="D43" s="1">
        <v>163.58799999999999</v>
      </c>
      <c r="E43" s="1">
        <v>988.553</v>
      </c>
      <c r="F43" s="23"/>
    </row>
    <row r="44" spans="1:6" ht="24.95" customHeight="1">
      <c r="A44" s="27" t="s">
        <v>17</v>
      </c>
      <c r="B44" s="15" t="s">
        <v>50</v>
      </c>
      <c r="C44" s="14" t="s">
        <v>24</v>
      </c>
      <c r="D44" s="24">
        <v>14164.467000000001</v>
      </c>
      <c r="E44" s="23">
        <f>14079.946-320.401</f>
        <v>13759.545</v>
      </c>
      <c r="F44" s="23"/>
    </row>
    <row r="45" spans="1:6" ht="24.95" customHeight="1">
      <c r="A45" s="27" t="s">
        <v>91</v>
      </c>
      <c r="B45" s="15" t="s">
        <v>13</v>
      </c>
      <c r="C45" s="14" t="s">
        <v>24</v>
      </c>
      <c r="D45" s="1">
        <v>3647.1039999999998</v>
      </c>
      <c r="E45" s="1">
        <v>3519.9859999999999</v>
      </c>
      <c r="F45" s="23"/>
    </row>
    <row r="46" spans="1:6" ht="24.95" customHeight="1">
      <c r="A46" s="27" t="s">
        <v>90</v>
      </c>
      <c r="B46" s="15" t="s">
        <v>15</v>
      </c>
      <c r="C46" s="14" t="s">
        <v>24</v>
      </c>
      <c r="D46" s="1">
        <v>61.125</v>
      </c>
      <c r="E46" s="1">
        <v>84.896000000000001</v>
      </c>
      <c r="F46" s="23"/>
    </row>
    <row r="47" spans="1:6" ht="54" customHeight="1">
      <c r="A47" s="27" t="s">
        <v>92</v>
      </c>
      <c r="B47" s="15" t="s">
        <v>51</v>
      </c>
      <c r="C47" s="45" t="s">
        <v>24</v>
      </c>
      <c r="D47" s="1">
        <f>841.32</f>
        <v>841.32</v>
      </c>
      <c r="E47" s="1">
        <v>298.61</v>
      </c>
      <c r="F47" s="23"/>
    </row>
    <row r="48" spans="1:6" ht="24.95" customHeight="1">
      <c r="A48" s="26" t="s">
        <v>52</v>
      </c>
      <c r="B48" s="15" t="s">
        <v>53</v>
      </c>
      <c r="C48" s="14" t="s">
        <v>54</v>
      </c>
      <c r="D48" s="57">
        <v>72</v>
      </c>
      <c r="E48" s="58">
        <v>47</v>
      </c>
      <c r="F48" s="23"/>
    </row>
    <row r="49" spans="1:6" ht="104.25" customHeight="1">
      <c r="A49" s="27" t="s">
        <v>93</v>
      </c>
      <c r="B49" s="15" t="s">
        <v>55</v>
      </c>
      <c r="C49" s="14" t="s">
        <v>24</v>
      </c>
      <c r="D49" s="24"/>
      <c r="E49" s="44"/>
      <c r="F49" s="23"/>
    </row>
    <row r="50" spans="1:6" ht="24.95" customHeight="1">
      <c r="A50" s="27" t="s">
        <v>94</v>
      </c>
      <c r="B50" s="15" t="s">
        <v>126</v>
      </c>
      <c r="C50" s="14" t="s">
        <v>24</v>
      </c>
      <c r="D50" s="1">
        <f>1721.531-841.32+2513.009</f>
        <v>3393.22</v>
      </c>
      <c r="E50" s="1">
        <v>2198.6799999999998</v>
      </c>
      <c r="F50" s="23"/>
    </row>
    <row r="51" spans="1:6" ht="39" customHeight="1">
      <c r="A51" s="34" t="s">
        <v>95</v>
      </c>
      <c r="B51" s="15" t="s">
        <v>56</v>
      </c>
      <c r="C51" s="14" t="s">
        <v>24</v>
      </c>
      <c r="D51" s="23"/>
      <c r="E51" s="23"/>
      <c r="F51" s="23"/>
    </row>
    <row r="52" spans="1:6" ht="44.25" customHeight="1">
      <c r="A52" s="26" t="s">
        <v>57</v>
      </c>
      <c r="B52" s="15" t="s">
        <v>117</v>
      </c>
      <c r="C52" s="14" t="s">
        <v>24</v>
      </c>
      <c r="D52" s="24">
        <f>D16+D18+D23+D28</f>
        <v>2294.3249999999998</v>
      </c>
      <c r="E52" s="24">
        <f>E16+E18+E23+E28</f>
        <v>7821.728000000001</v>
      </c>
      <c r="F52" s="23"/>
    </row>
    <row r="53" spans="1:6" ht="39" customHeight="1">
      <c r="A53" s="54" t="s">
        <v>58</v>
      </c>
      <c r="B53" s="16" t="s">
        <v>59</v>
      </c>
      <c r="C53" s="17" t="s">
        <v>24</v>
      </c>
      <c r="D53" s="18">
        <v>23224.89</v>
      </c>
      <c r="E53" s="18">
        <v>24845.393</v>
      </c>
      <c r="F53" s="19"/>
    </row>
    <row r="54" spans="1:6" ht="24.95" customHeight="1">
      <c r="A54" s="104" t="s">
        <v>2</v>
      </c>
      <c r="B54" s="15" t="s">
        <v>60</v>
      </c>
      <c r="C54" s="105" t="s">
        <v>62</v>
      </c>
      <c r="D54" s="113">
        <v>12094.9</v>
      </c>
      <c r="E54" s="107">
        <v>13704.615</v>
      </c>
      <c r="F54" s="107"/>
    </row>
    <row r="55" spans="1:6" ht="24.95" customHeight="1">
      <c r="A55" s="104"/>
      <c r="B55" s="15" t="s">
        <v>61</v>
      </c>
      <c r="C55" s="105"/>
      <c r="D55" s="113"/>
      <c r="E55" s="107"/>
      <c r="F55" s="107"/>
    </row>
    <row r="56" spans="1:6" ht="24.95" customHeight="1">
      <c r="A56" s="104" t="s">
        <v>6</v>
      </c>
      <c r="B56" s="15" t="s">
        <v>60</v>
      </c>
      <c r="C56" s="105" t="s">
        <v>118</v>
      </c>
      <c r="D56" s="112">
        <f>D53/D54*1000</f>
        <v>1920.221746355902</v>
      </c>
      <c r="E56" s="112">
        <f>E53/E54*1000</f>
        <v>1812.9216326033238</v>
      </c>
      <c r="F56" s="107"/>
    </row>
    <row r="57" spans="1:6" ht="37.5" customHeight="1">
      <c r="A57" s="104"/>
      <c r="B57" s="15" t="s">
        <v>63</v>
      </c>
      <c r="C57" s="105"/>
      <c r="D57" s="112"/>
      <c r="E57" s="112"/>
      <c r="F57" s="107"/>
    </row>
    <row r="58" spans="1:6" ht="53.25" customHeight="1">
      <c r="A58" s="26" t="s">
        <v>64</v>
      </c>
      <c r="B58" s="15" t="s">
        <v>65</v>
      </c>
      <c r="C58" s="14" t="s">
        <v>22</v>
      </c>
      <c r="D58" s="14" t="s">
        <v>22</v>
      </c>
      <c r="E58" s="14" t="s">
        <v>22</v>
      </c>
      <c r="F58" s="14" t="s">
        <v>22</v>
      </c>
    </row>
    <row r="59" spans="1:6" ht="29.25" customHeight="1">
      <c r="A59" s="26">
        <v>1</v>
      </c>
      <c r="B59" s="15" t="s">
        <v>66</v>
      </c>
      <c r="C59" s="14" t="s">
        <v>67</v>
      </c>
      <c r="D59" s="44">
        <v>3780</v>
      </c>
      <c r="E59" s="44">
        <v>3818</v>
      </c>
      <c r="F59" s="23"/>
    </row>
    <row r="60" spans="1:6" ht="24.95" customHeight="1">
      <c r="A60" s="26">
        <v>2</v>
      </c>
      <c r="B60" s="15" t="s">
        <v>68</v>
      </c>
      <c r="C60" s="14" t="s">
        <v>69</v>
      </c>
      <c r="D60" s="23">
        <v>118.3</v>
      </c>
      <c r="E60" s="23">
        <f>118.3+0.5</f>
        <v>118.8</v>
      </c>
      <c r="F60" s="23"/>
    </row>
    <row r="61" spans="1:6" ht="24.95" customHeight="1">
      <c r="A61" s="26"/>
      <c r="B61" s="37" t="s">
        <v>119</v>
      </c>
      <c r="C61" s="35" t="s">
        <v>69</v>
      </c>
      <c r="D61" s="36">
        <v>20</v>
      </c>
      <c r="E61" s="36">
        <v>20</v>
      </c>
      <c r="F61" s="36"/>
    </row>
    <row r="62" spans="1:6" ht="37.5" customHeight="1">
      <c r="A62" s="26"/>
      <c r="B62" s="37" t="s">
        <v>120</v>
      </c>
      <c r="C62" s="14" t="s">
        <v>69</v>
      </c>
      <c r="D62" s="23">
        <f>D60-D61</f>
        <v>98.3</v>
      </c>
      <c r="E62" s="36">
        <f>E60-E61</f>
        <v>98.8</v>
      </c>
      <c r="F62" s="23"/>
    </row>
    <row r="63" spans="1:6" ht="24.95" customHeight="1">
      <c r="A63" s="26">
        <v>3</v>
      </c>
      <c r="B63" s="16" t="s">
        <v>70</v>
      </c>
      <c r="C63" s="17" t="s">
        <v>71</v>
      </c>
      <c r="D63" s="39">
        <f>D64+D65+D66</f>
        <v>1051.55</v>
      </c>
      <c r="E63" s="39">
        <f>E64+E65+E66</f>
        <v>1051.31</v>
      </c>
      <c r="F63" s="23"/>
    </row>
    <row r="64" spans="1:6" ht="35.25" customHeight="1">
      <c r="A64" s="26"/>
      <c r="B64" s="37" t="s">
        <v>119</v>
      </c>
      <c r="C64" s="14" t="s">
        <v>71</v>
      </c>
      <c r="D64" s="23"/>
      <c r="E64" s="38"/>
      <c r="F64" s="23"/>
    </row>
    <row r="65" spans="1:7" ht="35.25" customHeight="1">
      <c r="A65" s="26"/>
      <c r="B65" s="37" t="s">
        <v>120</v>
      </c>
      <c r="C65" s="14" t="s">
        <v>71</v>
      </c>
      <c r="D65" s="53">
        <v>631.39</v>
      </c>
      <c r="E65" s="56">
        <v>625.44000000000005</v>
      </c>
      <c r="F65" s="23"/>
    </row>
    <row r="66" spans="1:7" ht="35.25" customHeight="1">
      <c r="A66" s="26"/>
      <c r="B66" s="37" t="s">
        <v>121</v>
      </c>
      <c r="C66" s="14" t="s">
        <v>71</v>
      </c>
      <c r="D66" s="44">
        <v>420.16</v>
      </c>
      <c r="E66" s="56">
        <v>425.87</v>
      </c>
      <c r="F66" s="23"/>
    </row>
    <row r="67" spans="1:7" ht="24.95" customHeight="1">
      <c r="A67" s="26">
        <v>4</v>
      </c>
      <c r="B67" s="16" t="s">
        <v>72</v>
      </c>
      <c r="C67" s="17" t="s">
        <v>71</v>
      </c>
      <c r="D67" s="39">
        <f>D68+D69+D70</f>
        <v>1917.5</v>
      </c>
      <c r="E67" s="39">
        <f>E68+E69+E70</f>
        <v>1965.1</v>
      </c>
      <c r="F67" s="23"/>
    </row>
    <row r="68" spans="1:7" ht="24.95" customHeight="1">
      <c r="A68" s="26"/>
      <c r="B68" s="37" t="s">
        <v>119</v>
      </c>
      <c r="C68" s="14" t="s">
        <v>71</v>
      </c>
      <c r="D68" s="38">
        <v>92</v>
      </c>
      <c r="E68" s="56">
        <v>92</v>
      </c>
      <c r="F68" s="23"/>
    </row>
    <row r="69" spans="1:7" ht="24.95" customHeight="1">
      <c r="A69" s="26"/>
      <c r="B69" s="37" t="s">
        <v>120</v>
      </c>
      <c r="C69" s="14" t="s">
        <v>71</v>
      </c>
      <c r="D69" s="53">
        <v>1825.5</v>
      </c>
      <c r="E69" s="56">
        <v>1873.1</v>
      </c>
      <c r="F69" s="23"/>
    </row>
    <row r="70" spans="1:7" ht="24.95" customHeight="1">
      <c r="A70" s="26"/>
      <c r="B70" s="37" t="s">
        <v>121</v>
      </c>
      <c r="C70" s="14" t="s">
        <v>71</v>
      </c>
      <c r="D70" s="23"/>
      <c r="E70" s="44"/>
      <c r="F70" s="23"/>
    </row>
    <row r="71" spans="1:7" ht="24.95" customHeight="1">
      <c r="A71" s="26">
        <v>5</v>
      </c>
      <c r="B71" s="16" t="s">
        <v>73</v>
      </c>
      <c r="C71" s="17" t="s">
        <v>74</v>
      </c>
      <c r="D71" s="19">
        <f>D73+D74</f>
        <v>390.07499999999999</v>
      </c>
      <c r="E71" s="18">
        <f>E73+E74</f>
        <v>390.49</v>
      </c>
      <c r="F71" s="23"/>
      <c r="G71" s="2"/>
    </row>
    <row r="72" spans="1:7" ht="24.95" customHeight="1">
      <c r="A72" s="26"/>
      <c r="B72" s="37" t="s">
        <v>119</v>
      </c>
      <c r="C72" s="14" t="s">
        <v>74</v>
      </c>
      <c r="D72" s="23"/>
      <c r="E72" s="23"/>
      <c r="F72" s="23"/>
    </row>
    <row r="73" spans="1:7" ht="24.95" customHeight="1">
      <c r="A73" s="26"/>
      <c r="B73" s="37" t="s">
        <v>120</v>
      </c>
      <c r="C73" s="14" t="s">
        <v>74</v>
      </c>
      <c r="D73" s="24">
        <v>230.81</v>
      </c>
      <c r="E73" s="24">
        <v>229.11</v>
      </c>
      <c r="F73" s="23"/>
    </row>
    <row r="74" spans="1:7" ht="24.95" customHeight="1">
      <c r="A74" s="26"/>
      <c r="B74" s="37" t="s">
        <v>121</v>
      </c>
      <c r="C74" s="14" t="s">
        <v>74</v>
      </c>
      <c r="D74" s="44">
        <v>159.26499999999999</v>
      </c>
      <c r="E74" s="24">
        <v>161.38</v>
      </c>
      <c r="F74" s="23"/>
    </row>
    <row r="75" spans="1:7" ht="24.95" customHeight="1">
      <c r="A75" s="26">
        <v>6</v>
      </c>
      <c r="B75" s="15" t="s">
        <v>75</v>
      </c>
      <c r="C75" s="14" t="s">
        <v>76</v>
      </c>
      <c r="D75" s="38">
        <f>(133.918+147.324)/D71*100</f>
        <v>72.099468051015833</v>
      </c>
      <c r="E75" s="38">
        <f>(145.624+136.033)/E71*100</f>
        <v>72.129119823811109</v>
      </c>
      <c r="F75" s="23"/>
    </row>
    <row r="76" spans="1:7" ht="38.25" customHeight="1">
      <c r="A76" s="26">
        <v>7</v>
      </c>
      <c r="B76" s="15" t="s">
        <v>77</v>
      </c>
      <c r="C76" s="14" t="s">
        <v>24</v>
      </c>
      <c r="D76" s="23"/>
      <c r="E76" s="23">
        <f>7378+156</f>
        <v>7534</v>
      </c>
      <c r="F76" s="36"/>
    </row>
    <row r="77" spans="1:7" ht="24.95" customHeight="1">
      <c r="A77" s="34" t="s">
        <v>85</v>
      </c>
      <c r="B77" s="15" t="s">
        <v>78</v>
      </c>
      <c r="C77" s="14" t="s">
        <v>24</v>
      </c>
      <c r="D77" s="23"/>
      <c r="E77" s="23">
        <f>7378+156</f>
        <v>7534</v>
      </c>
      <c r="F77" s="23"/>
    </row>
    <row r="78" spans="1:7" ht="41.25" customHeight="1">
      <c r="A78" s="40">
        <v>8</v>
      </c>
      <c r="B78" s="41" t="s">
        <v>127</v>
      </c>
      <c r="C78" s="54" t="s">
        <v>76</v>
      </c>
      <c r="D78" s="54" t="s">
        <v>128</v>
      </c>
      <c r="E78" s="26" t="s">
        <v>96</v>
      </c>
      <c r="F78" s="26" t="s">
        <v>96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12" t="s">
        <v>97</v>
      </c>
    </row>
    <row r="81" spans="2:6" s="11" customFormat="1" ht="57.75" customHeight="1">
      <c r="B81" s="110" t="s">
        <v>98</v>
      </c>
      <c r="C81" s="110"/>
      <c r="D81" s="110"/>
      <c r="E81" s="110"/>
      <c r="F81" s="110"/>
    </row>
    <row r="82" spans="2:6" s="11" customFormat="1" ht="30.75" customHeight="1">
      <c r="B82" s="110" t="s">
        <v>99</v>
      </c>
      <c r="C82" s="110"/>
      <c r="D82" s="110"/>
      <c r="E82" s="110"/>
      <c r="F82" s="110"/>
    </row>
    <row r="83" spans="2:6" s="11" customFormat="1" ht="33.75" customHeight="1">
      <c r="B83" s="111" t="s">
        <v>100</v>
      </c>
      <c r="C83" s="111"/>
      <c r="D83" s="111"/>
      <c r="E83" s="111"/>
      <c r="F83" s="111"/>
    </row>
    <row r="84" spans="2:6" s="11" customFormat="1" ht="34.5" customHeight="1">
      <c r="B84" s="110" t="s">
        <v>101</v>
      </c>
      <c r="C84" s="110"/>
      <c r="D84" s="110"/>
      <c r="E84" s="110"/>
      <c r="F84" s="110"/>
    </row>
    <row r="85" spans="2:6" s="11" customFormat="1" ht="50.1" customHeight="1">
      <c r="B85" s="110" t="s">
        <v>102</v>
      </c>
      <c r="C85" s="110"/>
      <c r="D85" s="110"/>
      <c r="E85" s="110"/>
      <c r="F85" s="110"/>
    </row>
    <row r="86" spans="2:6">
      <c r="B86" s="10"/>
    </row>
  </sheetData>
  <mergeCells count="22">
    <mergeCell ref="A54:A55"/>
    <mergeCell ref="C54:C55"/>
    <mergeCell ref="D54:D55"/>
    <mergeCell ref="E54:E55"/>
    <mergeCell ref="F54:F55"/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B83:F83"/>
    <mergeCell ref="B84:F84"/>
    <mergeCell ref="B85:F85"/>
    <mergeCell ref="B81:F81"/>
    <mergeCell ref="B82:F82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2018 год Приказ 1831-э  </vt:lpstr>
      <vt:lpstr>2017 год Приказ 1831-э </vt:lpstr>
      <vt:lpstr>2016 год Приказ 1831-э</vt:lpstr>
      <vt:lpstr>'2017 год Приказ 1831-э '!A1\</vt:lpstr>
      <vt:lpstr>'2018 год Приказ 1831-э  '!A1\</vt:lpstr>
      <vt:lpstr>A1\</vt:lpstr>
      <vt:lpstr>O</vt:lpstr>
      <vt:lpstr>'2017 год Приказ 1831-э '!А1</vt:lpstr>
      <vt:lpstr>'2018 год Приказ 1831-э  '!А1</vt:lpstr>
      <vt:lpstr>А1</vt:lpstr>
      <vt:lpstr>'2016 год Приказ 1831-э'!Область_печати</vt:lpstr>
      <vt:lpstr>'2017 год Приказ 1831-э '!Область_печати</vt:lpstr>
      <vt:lpstr>'2018 год Приказ 1831-э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2019-04-01T13:09:09Z</dcterms:modified>
</cp:coreProperties>
</file>