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2240" windowHeight="8850" activeTab="0"/>
  </bookViews>
  <sheets>
    <sheet name="Баланс 2021г" sheetId="1" r:id="rId1"/>
  </sheets>
  <definedNames>
    <definedName name="_xlnm.Print_Area" localSheetId="0">'Баланс 2021г'!$A$1:$N$34</definedName>
  </definedNames>
  <calcPr fullCalcOnLoad="1"/>
</workbook>
</file>

<file path=xl/sharedStrings.xml><?xml version="1.0" encoding="utf-8"?>
<sst xmlns="http://schemas.openxmlformats.org/spreadsheetml/2006/main" count="47" uniqueCount="37">
  <si>
    <t xml:space="preserve">   - СН-2</t>
  </si>
  <si>
    <t xml:space="preserve">   - НН</t>
  </si>
  <si>
    <t xml:space="preserve">   - электроплиты население</t>
  </si>
  <si>
    <t>Потери %</t>
  </si>
  <si>
    <t>ОБЪЕМЫ, кВт.ч.</t>
  </si>
  <si>
    <t xml:space="preserve">   - Нормативные</t>
  </si>
  <si>
    <t xml:space="preserve">   - Сверхнормативные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</si>
  <si>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</si>
  <si>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</si>
  <si>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</si>
  <si>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</si>
  <si>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</si>
  <si>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</si>
  <si>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</si>
  <si>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</si>
  <si>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</si>
  <si>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</si>
  <si>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</si>
  <si>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</si>
  <si>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- ВН</t>
  </si>
  <si>
    <t>Полезный отпуск</t>
  </si>
  <si>
    <t>Наименование</t>
  </si>
  <si>
    <t xml:space="preserve">   - СН-1</t>
  </si>
  <si>
    <t xml:space="preserve">   - газ население  ( общий счётчик)</t>
  </si>
  <si>
    <t>Расход  на собственные  нужды</t>
  </si>
  <si>
    <t>Отпущенно в сеть, всего</t>
  </si>
  <si>
    <r>
      <t xml:space="preserve"> - </t>
    </r>
    <r>
      <rPr>
        <i/>
        <sz val="14"/>
        <color indexed="8"/>
        <rFont val="Calibri"/>
        <family val="2"/>
      </rPr>
      <t>в смежные сети</t>
    </r>
  </si>
  <si>
    <t>%% к отпуску  э/э</t>
  </si>
  <si>
    <t>Потери    кВтч</t>
  </si>
  <si>
    <t>Акционерное общество  "Мурманэнергосбыт"</t>
  </si>
  <si>
    <t>в т.ч. СН-1 (кВтч)</t>
  </si>
  <si>
    <t>в т.ч. СН-2 (кВтч)</t>
  </si>
  <si>
    <t>в т.ч. НН (кВтч)</t>
  </si>
  <si>
    <t>Форма №  2</t>
  </si>
  <si>
    <t>БАЛАНС  ЭЛЕКТРИЧЕСКОЙ  ЭНЕРГИИ    2021  ГОД</t>
  </si>
  <si>
    <t>Факт 2021г</t>
  </si>
  <si>
    <t>2021г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</si>
</sst>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00"/>
    <numFmt numFmtId="181" formatCode="0.0000"/>
    <numFmt numFmtId="182" formatCode="0.00000"/>
    <numFmt numFmtId="183" formatCode="#,##0.0000"/>
    <numFmt numFmtId="184" formatCode="#,##0.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0.000000"/>
    <numFmt numFmtId="192" formatCode="0.0000000"/>
    <numFmt numFmtId="193" formatCode="0.000"/>
    <numFmt numFmtId="194" formatCode="0.0"/>
    <numFmt numFmtId="195" formatCode="0.00000000"/>
    <numFmt numFmtId="196" formatCode="0.00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name val="Times New Roman Cyr"/>
      <family val="1"/>
    </font>
    <font>
      <b/>
      <i/>
      <sz val="14"/>
      <color indexed="8"/>
      <name val="Calibri"/>
      <family val="2"/>
    </font>
    <font>
      <i/>
      <sz val="14"/>
      <color indexed="8"/>
      <name val="Calibri"/>
      <family val="2"/>
    </font>
    <font>
      <b/>
      <sz val="24"/>
      <color indexed="8"/>
      <name val="Calibri"/>
      <family val="2"/>
    </font>
    <font>
      <sz val="20"/>
      <color indexed="8"/>
      <name val="Calibri"/>
      <family val="2"/>
    </font>
    <font>
      <sz val="16"/>
      <color indexed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190" fontId="3" fillId="0" borderId="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3" fontId="3" fillId="34" borderId="13" xfId="0" applyNumberFormat="1" applyFont="1" applyFill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3" fontId="3" fillId="33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/>
    </xf>
    <xf numFmtId="3" fontId="6" fillId="0" borderId="11" xfId="0" applyNumberFormat="1" applyFont="1" applyFill="1" applyBorder="1" applyAlignment="1">
      <alignment/>
    </xf>
    <xf numFmtId="10" fontId="6" fillId="33" borderId="11" xfId="0" applyNumberFormat="1" applyFont="1" applyFill="1" applyBorder="1" applyAlignment="1">
      <alignment/>
    </xf>
    <xf numFmtId="10" fontId="6" fillId="33" borderId="12" xfId="0" applyNumberFormat="1" applyFont="1" applyFill="1" applyBorder="1" applyAlignment="1">
      <alignment/>
    </xf>
    <xf numFmtId="2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3" fillId="35" borderId="13" xfId="0" applyFont="1" applyFill="1" applyBorder="1" applyAlignment="1">
      <alignment horizontal="left"/>
    </xf>
    <xf numFmtId="0" fontId="7" fillId="35" borderId="13" xfId="0" applyFont="1" applyFill="1" applyBorder="1" applyAlignment="1">
      <alignment horizontal="left" indent="4"/>
    </xf>
    <xf numFmtId="0" fontId="3" fillId="35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6" fillId="35" borderId="13" xfId="0" applyFont="1" applyFill="1" applyBorder="1" applyAlignment="1">
      <alignment/>
    </xf>
    <xf numFmtId="0" fontId="6" fillId="35" borderId="13" xfId="0" applyFont="1" applyFill="1" applyBorder="1" applyAlignment="1">
      <alignment horizontal="right"/>
    </xf>
    <xf numFmtId="3" fontId="3" fillId="33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4" fontId="6" fillId="0" borderId="11" xfId="0" applyNumberFormat="1" applyFont="1" applyFill="1" applyBorder="1" applyAlignment="1">
      <alignment/>
    </xf>
    <xf numFmtId="4" fontId="4" fillId="33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1" fillId="0" borderId="0" xfId="0" applyFont="1" applyAlignment="1">
      <alignment/>
    </xf>
    <xf numFmtId="194" fontId="11" fillId="0" borderId="0" xfId="0" applyNumberFormat="1" applyFont="1" applyAlignment="1">
      <alignment/>
    </xf>
    <xf numFmtId="193" fontId="0" fillId="0" borderId="0" xfId="0" applyNumberFormat="1" applyAlignment="1">
      <alignment/>
    </xf>
    <xf numFmtId="0" fontId="7" fillId="35" borderId="13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44" fillId="0" borderId="11" xfId="0" applyNumberFormat="1" applyFont="1" applyFill="1" applyBorder="1" applyAlignment="1">
      <alignment/>
    </xf>
    <xf numFmtId="3" fontId="3" fillId="34" borderId="13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left"/>
    </xf>
    <xf numFmtId="3" fontId="8" fillId="0" borderId="0" xfId="0" applyNumberFormat="1" applyFont="1" applyAlignment="1">
      <alignment horizontal="center"/>
    </xf>
    <xf numFmtId="190" fontId="3" fillId="35" borderId="15" xfId="0" applyNumberFormat="1" applyFont="1" applyFill="1" applyBorder="1" applyAlignment="1">
      <alignment horizontal="center"/>
    </xf>
    <xf numFmtId="190" fontId="3" fillId="35" borderId="16" xfId="0" applyNumberFormat="1" applyFont="1" applyFill="1" applyBorder="1" applyAlignment="1">
      <alignment horizontal="center"/>
    </xf>
    <xf numFmtId="190" fontId="2" fillId="0" borderId="17" xfId="0" applyNumberFormat="1" applyFont="1" applyBorder="1" applyAlignment="1">
      <alignment horizontal="center"/>
    </xf>
    <xf numFmtId="190" fontId="2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R39"/>
  <sheetViews>
    <sheetView tabSelected="1" view="pageBreakPreview" zoomScale="90" zoomScaleNormal="75" zoomScaleSheetLayoutView="90" zoomScalePageLayoutView="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29" sqref="M29"/>
    </sheetView>
  </sheetViews>
  <sheetFormatPr defaultColWidth="9.140625" defaultRowHeight="15" outlineLevelRow="1"/>
  <cols>
    <col min="1" max="1" width="54.8515625" style="0" customWidth="1"/>
    <col min="2" max="2" width="17.57421875" style="0" customWidth="1"/>
    <col min="3" max="3" width="15.28125" style="0" customWidth="1"/>
    <col min="4" max="4" width="14.7109375" style="0" customWidth="1"/>
    <col min="5" max="5" width="16.421875" style="0" customWidth="1"/>
    <col min="6" max="6" width="15.421875" style="0" customWidth="1"/>
    <col min="7" max="7" width="15.28125" style="0" customWidth="1"/>
    <col min="8" max="9" width="15.421875" style="0" customWidth="1"/>
    <col min="10" max="10" width="14.7109375" style="0" customWidth="1"/>
    <col min="11" max="11" width="16.00390625" style="0" customWidth="1"/>
    <col min="12" max="12" width="16.8515625" style="0" customWidth="1"/>
    <col min="13" max="13" width="16.00390625" style="0" customWidth="1"/>
    <col min="14" max="14" width="16.7109375" style="0" customWidth="1"/>
    <col min="15" max="16" width="13.28125" style="0" bestFit="1" customWidth="1"/>
    <col min="17" max="17" width="14.140625" style="0" customWidth="1"/>
    <col min="18" max="18" width="10.8515625" style="0" bestFit="1" customWidth="1"/>
  </cols>
  <sheetData>
    <row r="1" spans="1:14" ht="41.25" customHeight="1">
      <c r="A1" s="40" t="s">
        <v>29</v>
      </c>
      <c r="B1" s="40"/>
      <c r="C1" s="40"/>
      <c r="D1" s="40"/>
      <c r="E1" s="1"/>
      <c r="F1" s="1"/>
      <c r="G1" s="1"/>
      <c r="H1" s="1"/>
      <c r="I1" s="1"/>
      <c r="J1" s="1"/>
      <c r="K1" s="30" t="s">
        <v>33</v>
      </c>
      <c r="L1" s="1"/>
      <c r="M1" s="1"/>
      <c r="N1" s="1"/>
    </row>
    <row r="2" spans="1:14" ht="62.25" customHeight="1">
      <c r="A2" s="41" t="s">
        <v>34</v>
      </c>
      <c r="B2" s="41"/>
      <c r="C2" s="41"/>
      <c r="D2" s="41"/>
      <c r="E2" s="41"/>
      <c r="F2" s="41"/>
      <c r="G2" s="41"/>
      <c r="H2" s="41"/>
      <c r="I2" s="1"/>
      <c r="J2" s="1"/>
      <c r="K2" s="1"/>
      <c r="L2" s="1"/>
      <c r="M2" s="2"/>
      <c r="N2" s="2"/>
    </row>
    <row r="3" spans="1:14" ht="19.5" thickBot="1">
      <c r="A3" s="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36.75" customHeight="1">
      <c r="A4" s="42" t="s">
        <v>21</v>
      </c>
      <c r="B4" s="44" t="s">
        <v>35</v>
      </c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37.5" customHeight="1">
      <c r="A5" s="43"/>
      <c r="B5" s="4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  <c r="I5" s="5" t="s">
        <v>14</v>
      </c>
      <c r="J5" s="5" t="s">
        <v>15</v>
      </c>
      <c r="K5" s="5" t="s">
        <v>16</v>
      </c>
      <c r="L5" s="5" t="s">
        <v>17</v>
      </c>
      <c r="M5" s="5" t="s">
        <v>18</v>
      </c>
      <c r="N5" s="6" t="s">
        <v>36</v>
      </c>
    </row>
    <row r="6" spans="1:14" ht="15.75" customHeight="1">
      <c r="A6" s="7" t="s">
        <v>4</v>
      </c>
      <c r="B6" s="38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</row>
    <row r="7" spans="1:18" ht="19.5" customHeight="1">
      <c r="A7" s="20" t="s">
        <v>25</v>
      </c>
      <c r="B7" s="26">
        <f>B8+B9+B10</f>
        <v>12501425</v>
      </c>
      <c r="C7" s="26">
        <f aca="true" t="shared" si="0" ref="C7:M7">C8+C9+C10</f>
        <v>11273577</v>
      </c>
      <c r="D7" s="26">
        <f t="shared" si="0"/>
        <v>11271859</v>
      </c>
      <c r="E7" s="26">
        <f t="shared" si="0"/>
        <v>9378799</v>
      </c>
      <c r="F7" s="26">
        <f t="shared" si="0"/>
        <v>8694317</v>
      </c>
      <c r="G7" s="26">
        <f t="shared" si="0"/>
        <v>7316730</v>
      </c>
      <c r="H7" s="26">
        <f t="shared" si="0"/>
        <v>7743436</v>
      </c>
      <c r="I7" s="26">
        <f t="shared" si="0"/>
        <v>9198755</v>
      </c>
      <c r="J7" s="26">
        <f t="shared" si="0"/>
        <v>8974916</v>
      </c>
      <c r="K7" s="26">
        <f t="shared" si="0"/>
        <v>10085691</v>
      </c>
      <c r="L7" s="26">
        <f t="shared" si="0"/>
        <v>11179221</v>
      </c>
      <c r="M7" s="26">
        <f t="shared" si="0"/>
        <v>12935591</v>
      </c>
      <c r="N7" s="9">
        <f aca="true" t="shared" si="1" ref="N7:N19">SUM(B7:M7)</f>
        <v>120554317</v>
      </c>
      <c r="P7" s="31"/>
      <c r="Q7" s="31"/>
      <c r="R7" s="31"/>
    </row>
    <row r="8" spans="1:17" ht="19.5" customHeight="1" outlineLevel="1">
      <c r="A8" s="21" t="s">
        <v>19</v>
      </c>
      <c r="B8" s="10">
        <v>7858238</v>
      </c>
      <c r="C8" s="10">
        <v>7052199</v>
      </c>
      <c r="D8" s="10">
        <v>7038485</v>
      </c>
      <c r="E8" s="10">
        <v>5932010</v>
      </c>
      <c r="F8" s="10">
        <v>5541230</v>
      </c>
      <c r="G8" s="10">
        <v>4721778</v>
      </c>
      <c r="H8" s="10">
        <v>4994033</v>
      </c>
      <c r="I8" s="10">
        <v>5857002</v>
      </c>
      <c r="J8" s="10">
        <v>5742470</v>
      </c>
      <c r="K8" s="10">
        <v>6367949</v>
      </c>
      <c r="L8" s="10">
        <v>6970327</v>
      </c>
      <c r="M8" s="10">
        <v>8056012</v>
      </c>
      <c r="N8" s="8">
        <f t="shared" si="1"/>
        <v>76131733</v>
      </c>
      <c r="Q8" s="31"/>
    </row>
    <row r="9" spans="1:15" ht="19.5" customHeight="1" outlineLevel="1">
      <c r="A9" s="21" t="s">
        <v>22</v>
      </c>
      <c r="B9" s="10">
        <v>4598163</v>
      </c>
      <c r="C9" s="10">
        <v>4159936</v>
      </c>
      <c r="D9" s="10">
        <v>4178885</v>
      </c>
      <c r="E9" s="10">
        <v>3405100</v>
      </c>
      <c r="F9" s="10">
        <v>3105232</v>
      </c>
      <c r="G9" s="10">
        <v>2557956</v>
      </c>
      <c r="H9" s="10">
        <v>2691775</v>
      </c>
      <c r="I9" s="10">
        <v>3309770</v>
      </c>
      <c r="J9" s="10">
        <v>3195872</v>
      </c>
      <c r="K9" s="10">
        <v>3678695</v>
      </c>
      <c r="L9" s="10">
        <v>4157679</v>
      </c>
      <c r="M9" s="10">
        <v>4822000</v>
      </c>
      <c r="N9" s="8">
        <f t="shared" si="1"/>
        <v>43861063</v>
      </c>
      <c r="O9" s="31"/>
    </row>
    <row r="10" spans="1:14" ht="19.5" customHeight="1" outlineLevel="1">
      <c r="A10" s="21" t="s">
        <v>0</v>
      </c>
      <c r="B10" s="10">
        <v>45024</v>
      </c>
      <c r="C10" s="10">
        <v>61442</v>
      </c>
      <c r="D10" s="10">
        <v>54489</v>
      </c>
      <c r="E10" s="10">
        <v>41689</v>
      </c>
      <c r="F10" s="10">
        <v>47855</v>
      </c>
      <c r="G10" s="10">
        <v>36996</v>
      </c>
      <c r="H10" s="10">
        <v>57628</v>
      </c>
      <c r="I10" s="10">
        <v>31983</v>
      </c>
      <c r="J10" s="10">
        <v>36574</v>
      </c>
      <c r="K10" s="10">
        <v>39047</v>
      </c>
      <c r="L10" s="10">
        <v>51215</v>
      </c>
      <c r="M10" s="10">
        <v>57579</v>
      </c>
      <c r="N10" s="8">
        <f t="shared" si="1"/>
        <v>561521</v>
      </c>
    </row>
    <row r="11" spans="1:17" ht="19.5" customHeight="1" outlineLevel="1">
      <c r="A11" s="22" t="s">
        <v>24</v>
      </c>
      <c r="B11" s="27">
        <f>SUM(B12:B15)</f>
        <v>94176</v>
      </c>
      <c r="C11" s="27">
        <f aca="true" t="shared" si="2" ref="C11:M11">SUM(C12:C15)</f>
        <v>97948</v>
      </c>
      <c r="D11" s="27">
        <f t="shared" si="2"/>
        <v>81357</v>
      </c>
      <c r="E11" s="27">
        <f t="shared" si="2"/>
        <v>59701</v>
      </c>
      <c r="F11" s="27">
        <f t="shared" si="2"/>
        <v>43372</v>
      </c>
      <c r="G11" s="27">
        <f t="shared" si="2"/>
        <v>18906</v>
      </c>
      <c r="H11" s="27">
        <f t="shared" si="2"/>
        <v>13913</v>
      </c>
      <c r="I11" s="27">
        <f t="shared" si="2"/>
        <v>24486</v>
      </c>
      <c r="J11" s="27">
        <f t="shared" si="2"/>
        <v>38991</v>
      </c>
      <c r="K11" s="27">
        <f t="shared" si="2"/>
        <v>50842</v>
      </c>
      <c r="L11" s="27">
        <f t="shared" si="2"/>
        <v>100645</v>
      </c>
      <c r="M11" s="27">
        <f t="shared" si="2"/>
        <v>115479</v>
      </c>
      <c r="N11" s="9">
        <f>SUM(N12:N15)</f>
        <v>739816</v>
      </c>
      <c r="O11" s="31"/>
      <c r="P11" s="31"/>
      <c r="Q11" s="31"/>
    </row>
    <row r="12" spans="1:14" ht="19.5" customHeight="1" outlineLevel="1">
      <c r="A12" s="21" t="s">
        <v>19</v>
      </c>
      <c r="B12" s="10">
        <v>86026</v>
      </c>
      <c r="C12" s="10">
        <v>90657</v>
      </c>
      <c r="D12" s="10">
        <v>74416</v>
      </c>
      <c r="E12" s="10">
        <v>52269</v>
      </c>
      <c r="F12" s="10">
        <v>38151</v>
      </c>
      <c r="G12" s="10">
        <v>17186</v>
      </c>
      <c r="H12" s="10">
        <v>11707</v>
      </c>
      <c r="I12" s="10">
        <v>21421</v>
      </c>
      <c r="J12" s="10">
        <v>36753</v>
      </c>
      <c r="K12" s="10">
        <v>47426</v>
      </c>
      <c r="L12" s="10">
        <v>94026</v>
      </c>
      <c r="M12" s="10">
        <v>110997</v>
      </c>
      <c r="N12" s="8">
        <f t="shared" si="1"/>
        <v>681035</v>
      </c>
    </row>
    <row r="13" spans="1:14" ht="19.5" customHeight="1" outlineLevel="1">
      <c r="A13" s="21" t="s">
        <v>22</v>
      </c>
      <c r="B13" s="10">
        <v>8150</v>
      </c>
      <c r="C13" s="10">
        <v>7291</v>
      </c>
      <c r="D13" s="10">
        <v>6941</v>
      </c>
      <c r="E13" s="10">
        <v>7432</v>
      </c>
      <c r="F13" s="10">
        <v>5221</v>
      </c>
      <c r="G13" s="10">
        <v>1720</v>
      </c>
      <c r="H13" s="10">
        <v>2206</v>
      </c>
      <c r="I13" s="10">
        <v>3065</v>
      </c>
      <c r="J13" s="10">
        <v>2238</v>
      </c>
      <c r="K13" s="10">
        <v>3416</v>
      </c>
      <c r="L13" s="10">
        <v>6619</v>
      </c>
      <c r="M13" s="10">
        <v>4482</v>
      </c>
      <c r="N13" s="8">
        <f t="shared" si="1"/>
        <v>58781</v>
      </c>
    </row>
    <row r="14" spans="1:14" ht="19.5" customHeight="1" outlineLevel="1">
      <c r="A14" s="21" t="s">
        <v>0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8">
        <f t="shared" si="1"/>
        <v>0</v>
      </c>
    </row>
    <row r="15" spans="1:14" ht="19.5" customHeight="1" outlineLevel="1">
      <c r="A15" s="21" t="s">
        <v>1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8">
        <f t="shared" si="1"/>
        <v>0</v>
      </c>
    </row>
    <row r="16" spans="1:14" ht="19.5" customHeight="1">
      <c r="A16" s="23" t="s">
        <v>20</v>
      </c>
      <c r="B16" s="11">
        <f>+B18+B19+B20+B23+B24+B25+B21+B22</f>
        <v>10631379</v>
      </c>
      <c r="C16" s="11">
        <f aca="true" t="shared" si="3" ref="C16:M16">+C18+C19+C20+C23+C24+C25+C21+C22</f>
        <v>10262918</v>
      </c>
      <c r="D16" s="11">
        <f t="shared" si="3"/>
        <v>9425747</v>
      </c>
      <c r="E16" s="11">
        <f t="shared" si="3"/>
        <v>8500426</v>
      </c>
      <c r="F16" s="11">
        <f t="shared" si="3"/>
        <v>7488390</v>
      </c>
      <c r="G16" s="11">
        <f t="shared" si="3"/>
        <v>6998392</v>
      </c>
      <c r="H16" s="11">
        <f t="shared" si="3"/>
        <v>6258660</v>
      </c>
      <c r="I16" s="11">
        <f t="shared" si="3"/>
        <v>8076699</v>
      </c>
      <c r="J16" s="11">
        <f t="shared" si="3"/>
        <v>8627418</v>
      </c>
      <c r="K16" s="11">
        <f t="shared" si="3"/>
        <v>8267432</v>
      </c>
      <c r="L16" s="11">
        <f t="shared" si="3"/>
        <v>9871285</v>
      </c>
      <c r="M16" s="11">
        <f t="shared" si="3"/>
        <v>10494403</v>
      </c>
      <c r="N16" s="8">
        <f t="shared" si="1"/>
        <v>104903149</v>
      </c>
    </row>
    <row r="17" spans="1:14" ht="19.5" customHeight="1">
      <c r="A17" s="24" t="s">
        <v>26</v>
      </c>
      <c r="B17" s="12"/>
      <c r="C17" s="12"/>
      <c r="D17" s="12"/>
      <c r="E17" s="12"/>
      <c r="F17" s="12"/>
      <c r="G17" s="13"/>
      <c r="H17" s="13"/>
      <c r="I17" s="13"/>
      <c r="J17" s="13"/>
      <c r="K17" s="13"/>
      <c r="L17" s="13"/>
      <c r="M17" s="13"/>
      <c r="N17" s="8">
        <f t="shared" si="1"/>
        <v>0</v>
      </c>
    </row>
    <row r="18" spans="1:14" ht="19.5" customHeight="1">
      <c r="A18" s="21" t="s">
        <v>19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8">
        <f aca="true" t="shared" si="4" ref="N18:N25">SUM(B18:M18)</f>
        <v>0</v>
      </c>
    </row>
    <row r="19" spans="1:14" ht="19.5" customHeight="1">
      <c r="A19" s="21" t="s">
        <v>22</v>
      </c>
      <c r="B19" s="13">
        <f>208796+15387</f>
        <v>224183</v>
      </c>
      <c r="C19" s="13">
        <f>188272+15407</f>
        <v>203679</v>
      </c>
      <c r="D19" s="13">
        <f>185244+15335</f>
        <v>200579</v>
      </c>
      <c r="E19" s="13">
        <f>161346+7461</f>
        <v>168807</v>
      </c>
      <c r="F19" s="13">
        <f>11193+136104</f>
        <v>147297</v>
      </c>
      <c r="G19" s="13">
        <f>80677+9436</f>
        <v>90113</v>
      </c>
      <c r="H19" s="13">
        <f>88953+8564</f>
        <v>97517</v>
      </c>
      <c r="I19" s="13">
        <f>101747+7651</f>
        <v>109398</v>
      </c>
      <c r="J19" s="13">
        <f>144710-2238</f>
        <v>142472</v>
      </c>
      <c r="K19" s="13">
        <f>10808+155309</f>
        <v>166117</v>
      </c>
      <c r="L19" s="13">
        <f>189344+12837</f>
        <v>202181</v>
      </c>
      <c r="M19" s="13">
        <f>206493+20263</f>
        <v>226756</v>
      </c>
      <c r="N19" s="8">
        <f t="shared" si="1"/>
        <v>1979099</v>
      </c>
    </row>
    <row r="20" spans="1:14" ht="19.5" customHeight="1">
      <c r="A20" s="21" t="s">
        <v>0</v>
      </c>
      <c r="B20" s="14">
        <v>3490196</v>
      </c>
      <c r="C20" s="14">
        <v>3237687</v>
      </c>
      <c r="D20" s="14">
        <v>2950749</v>
      </c>
      <c r="E20" s="14">
        <v>2435419</v>
      </c>
      <c r="F20" s="14">
        <v>2033518</v>
      </c>
      <c r="G20" s="14">
        <v>1614616</v>
      </c>
      <c r="H20" s="14">
        <v>1453368</v>
      </c>
      <c r="I20" s="14">
        <v>1525431</v>
      </c>
      <c r="J20" s="14">
        <v>2236909</v>
      </c>
      <c r="K20" s="14">
        <v>2581129</v>
      </c>
      <c r="L20" s="14">
        <v>3016485</v>
      </c>
      <c r="M20" s="14">
        <v>3336131</v>
      </c>
      <c r="N20" s="8">
        <f t="shared" si="4"/>
        <v>29911638</v>
      </c>
    </row>
    <row r="21" spans="1:14" ht="19.5" customHeight="1">
      <c r="A21" s="21" t="s">
        <v>23</v>
      </c>
      <c r="B21" s="14">
        <f>127000</f>
        <v>127000</v>
      </c>
      <c r="C21" s="14">
        <v>124378</v>
      </c>
      <c r="D21" s="14">
        <v>122673</v>
      </c>
      <c r="E21" s="14">
        <v>101331</v>
      </c>
      <c r="F21" s="14">
        <v>91466</v>
      </c>
      <c r="G21" s="14">
        <v>71487</v>
      </c>
      <c r="H21" s="14">
        <v>55249</v>
      </c>
      <c r="I21" s="14">
        <v>73996</v>
      </c>
      <c r="J21" s="14">
        <v>99006</v>
      </c>
      <c r="K21" s="14">
        <v>114037</v>
      </c>
      <c r="L21" s="14">
        <v>138939</v>
      </c>
      <c r="M21" s="14">
        <v>147758</v>
      </c>
      <c r="N21" s="8">
        <f t="shared" si="4"/>
        <v>1267320</v>
      </c>
    </row>
    <row r="22" spans="1:14" ht="19.5" customHeight="1">
      <c r="A22" s="21" t="s">
        <v>2</v>
      </c>
      <c r="B22" s="14">
        <f>3484+2376</f>
        <v>5860</v>
      </c>
      <c r="C22" s="14">
        <f>2486+4188</f>
        <v>6674</v>
      </c>
      <c r="D22" s="14">
        <v>3518</v>
      </c>
      <c r="E22" s="14">
        <v>6345</v>
      </c>
      <c r="F22" s="14">
        <v>12309</v>
      </c>
      <c r="G22" s="14">
        <v>5239</v>
      </c>
      <c r="H22" s="14">
        <v>6369</v>
      </c>
      <c r="I22" s="14">
        <v>6947</v>
      </c>
      <c r="J22" s="14">
        <v>12448</v>
      </c>
      <c r="K22" s="14">
        <v>3522</v>
      </c>
      <c r="L22" s="14">
        <v>3707</v>
      </c>
      <c r="M22" s="14">
        <v>5062</v>
      </c>
      <c r="N22" s="8">
        <f t="shared" si="4"/>
        <v>78000</v>
      </c>
    </row>
    <row r="23" spans="1:14" ht="19.5" customHeight="1">
      <c r="A23" s="21" t="s">
        <v>1</v>
      </c>
      <c r="B23" s="14">
        <v>1680756</v>
      </c>
      <c r="C23" s="14">
        <v>1679340</v>
      </c>
      <c r="D23" s="14">
        <v>1537865</v>
      </c>
      <c r="E23" s="14">
        <v>1519517</v>
      </c>
      <c r="F23" s="14">
        <v>1244610</v>
      </c>
      <c r="G23" s="14">
        <v>1210348</v>
      </c>
      <c r="H23" s="14">
        <v>1022404</v>
      </c>
      <c r="I23" s="14">
        <v>1137148</v>
      </c>
      <c r="J23" s="14">
        <v>1215780</v>
      </c>
      <c r="K23" s="14">
        <v>1370438</v>
      </c>
      <c r="L23" s="14">
        <v>1593685</v>
      </c>
      <c r="M23" s="14">
        <v>1849081</v>
      </c>
      <c r="N23" s="8">
        <f t="shared" si="4"/>
        <v>17060972</v>
      </c>
    </row>
    <row r="24" spans="1:14" ht="19.5" customHeight="1">
      <c r="A24" s="21" t="s">
        <v>23</v>
      </c>
      <c r="B24" s="14">
        <f>199335+1899</f>
        <v>201234</v>
      </c>
      <c r="C24" s="14">
        <f>197977+2628</f>
        <v>200605</v>
      </c>
      <c r="D24" s="14">
        <f>313294+2281</f>
        <v>315575</v>
      </c>
      <c r="E24" s="14">
        <f>150229+3451</f>
        <v>153680</v>
      </c>
      <c r="F24" s="14">
        <v>200686</v>
      </c>
      <c r="G24" s="14">
        <f>230748+4608</f>
        <v>235356</v>
      </c>
      <c r="H24" s="14">
        <f>92190+1597</f>
        <v>93787</v>
      </c>
      <c r="I24" s="14">
        <f>103501+1165</f>
        <v>104666</v>
      </c>
      <c r="J24" s="14">
        <f>143045+3283</f>
        <v>146328</v>
      </c>
      <c r="K24" s="14">
        <f>162473+2232</f>
        <v>164705</v>
      </c>
      <c r="L24" s="14">
        <f>182129+1012</f>
        <v>183141</v>
      </c>
      <c r="M24" s="14">
        <f>313062+5314</f>
        <v>318376</v>
      </c>
      <c r="N24" s="8">
        <f t="shared" si="4"/>
        <v>2318139</v>
      </c>
    </row>
    <row r="25" spans="1:14" ht="19.5" customHeight="1">
      <c r="A25" s="21" t="s">
        <v>2</v>
      </c>
      <c r="B25" s="14">
        <f>4669451+232699</f>
        <v>4902150</v>
      </c>
      <c r="C25" s="14">
        <f>4614320+196235</f>
        <v>4810555</v>
      </c>
      <c r="D25" s="14">
        <f>4101500+193288</f>
        <v>4294788</v>
      </c>
      <c r="E25" s="14">
        <f>3926144+189183</f>
        <v>4115327</v>
      </c>
      <c r="F25" s="14">
        <v>3758504</v>
      </c>
      <c r="G25" s="14">
        <f>3614500+156733</f>
        <v>3771233</v>
      </c>
      <c r="H25" s="14">
        <f>3372636+157330</f>
        <v>3529966</v>
      </c>
      <c r="I25" s="14">
        <f>4933689+185424</f>
        <v>5119113</v>
      </c>
      <c r="J25" s="14">
        <f>4583432+191043</f>
        <v>4774475</v>
      </c>
      <c r="K25" s="14">
        <f>3704704+162780</f>
        <v>3867484</v>
      </c>
      <c r="L25" s="14">
        <f>4533738+199409</f>
        <v>4733147</v>
      </c>
      <c r="M25" s="14">
        <f>4413385+197854</f>
        <v>4611239</v>
      </c>
      <c r="N25" s="8">
        <f t="shared" si="4"/>
        <v>52287981</v>
      </c>
    </row>
    <row r="26" spans="1:18" ht="19.5" customHeight="1">
      <c r="A26" s="23" t="s">
        <v>28</v>
      </c>
      <c r="B26" s="11">
        <f>B7-B11-B16</f>
        <v>1775870</v>
      </c>
      <c r="C26" s="11">
        <f aca="true" t="shared" si="5" ref="C26:N26">C7-C11-C16</f>
        <v>912711</v>
      </c>
      <c r="D26" s="11">
        <f t="shared" si="5"/>
        <v>1764755</v>
      </c>
      <c r="E26" s="11">
        <f t="shared" si="5"/>
        <v>818672</v>
      </c>
      <c r="F26" s="11">
        <f t="shared" si="5"/>
        <v>1162555</v>
      </c>
      <c r="G26" s="11">
        <f t="shared" si="5"/>
        <v>299432</v>
      </c>
      <c r="H26" s="11">
        <f t="shared" si="5"/>
        <v>1470863</v>
      </c>
      <c r="I26" s="11">
        <f>I7-I11-I16</f>
        <v>1097570</v>
      </c>
      <c r="J26" s="11">
        <f>J7-J11-J16</f>
        <v>308507</v>
      </c>
      <c r="K26" s="11">
        <f t="shared" si="5"/>
        <v>1767417</v>
      </c>
      <c r="L26" s="11">
        <f>L7-L11-L16</f>
        <v>1207291</v>
      </c>
      <c r="M26" s="11">
        <f>M7-M11-M16</f>
        <v>2325709</v>
      </c>
      <c r="N26" s="11">
        <f t="shared" si="5"/>
        <v>14911352</v>
      </c>
      <c r="O26" s="31"/>
      <c r="Q26" s="32"/>
      <c r="R26" s="32"/>
    </row>
    <row r="27" spans="1:18" ht="19.5" customHeight="1">
      <c r="A27" s="35" t="s">
        <v>30</v>
      </c>
      <c r="B27" s="13">
        <f>38905+14308</f>
        <v>53213</v>
      </c>
      <c r="C27" s="13">
        <f>12875+35007</f>
        <v>47882</v>
      </c>
      <c r="D27" s="13">
        <f>35428+13015</f>
        <v>48443</v>
      </c>
      <c r="E27" s="13">
        <f>29218+10758</f>
        <v>39976</v>
      </c>
      <c r="F27" s="13">
        <f>27011+9909</f>
        <v>36920</v>
      </c>
      <c r="G27" s="13">
        <f>23243+8200</f>
        <v>31443</v>
      </c>
      <c r="H27" s="13">
        <f>24504+8893</f>
        <v>33397</v>
      </c>
      <c r="I27" s="13">
        <v>41192</v>
      </c>
      <c r="J27" s="13">
        <f>10183+1664</f>
        <v>11847</v>
      </c>
      <c r="K27" s="13">
        <f>11493+31348</f>
        <v>42841</v>
      </c>
      <c r="L27" s="13">
        <v>47503</v>
      </c>
      <c r="M27" s="13">
        <f>39994+14686</f>
        <v>54680</v>
      </c>
      <c r="N27" s="36">
        <f>SUM(B27:M27)</f>
        <v>489337</v>
      </c>
      <c r="O27" s="31"/>
      <c r="Q27" s="32"/>
      <c r="R27" s="32"/>
    </row>
    <row r="28" spans="1:18" ht="19.5" customHeight="1">
      <c r="A28" s="35" t="s">
        <v>31</v>
      </c>
      <c r="B28" s="13">
        <v>670500</v>
      </c>
      <c r="C28" s="13">
        <v>374748</v>
      </c>
      <c r="D28" s="13">
        <v>650000</v>
      </c>
      <c r="E28" s="13">
        <v>359995</v>
      </c>
      <c r="F28" s="13">
        <v>420383</v>
      </c>
      <c r="G28" s="13">
        <v>185104</v>
      </c>
      <c r="H28" s="13">
        <v>490955</v>
      </c>
      <c r="I28" s="13">
        <v>405924</v>
      </c>
      <c r="J28" s="13">
        <v>150635</v>
      </c>
      <c r="K28" s="13">
        <v>540178</v>
      </c>
      <c r="L28" s="13">
        <v>401942</v>
      </c>
      <c r="M28" s="13">
        <v>749114</v>
      </c>
      <c r="N28" s="36">
        <f>SUM(B28:M28)</f>
        <v>5399478</v>
      </c>
      <c r="O28" s="31"/>
      <c r="Q28" s="32"/>
      <c r="R28" s="32"/>
    </row>
    <row r="29" spans="1:18" ht="19.5" customHeight="1">
      <c r="A29" s="35" t="s">
        <v>32</v>
      </c>
      <c r="B29" s="13">
        <v>1052157</v>
      </c>
      <c r="C29" s="13">
        <v>490081</v>
      </c>
      <c r="D29" s="13">
        <v>1066312</v>
      </c>
      <c r="E29" s="13">
        <v>418701</v>
      </c>
      <c r="F29" s="13">
        <v>705252</v>
      </c>
      <c r="G29" s="13">
        <v>82885</v>
      </c>
      <c r="H29" s="13">
        <v>946511</v>
      </c>
      <c r="I29" s="13">
        <v>650454</v>
      </c>
      <c r="J29" s="13">
        <v>146025</v>
      </c>
      <c r="K29" s="13">
        <v>1184398</v>
      </c>
      <c r="L29" s="13">
        <v>757846</v>
      </c>
      <c r="M29" s="13">
        <v>1521915</v>
      </c>
      <c r="N29" s="36">
        <f>SUM(B29:M29)</f>
        <v>9022537</v>
      </c>
      <c r="O29" s="31"/>
      <c r="Q29" s="32"/>
      <c r="R29" s="32"/>
    </row>
    <row r="30" spans="1:18" ht="19.5" customHeight="1">
      <c r="A30" s="24" t="s">
        <v>5</v>
      </c>
      <c r="B30" s="15">
        <v>1057553</v>
      </c>
      <c r="C30" s="15">
        <v>901402</v>
      </c>
      <c r="D30" s="15">
        <v>958586</v>
      </c>
      <c r="E30" s="15">
        <v>809347</v>
      </c>
      <c r="F30" s="15">
        <v>734511</v>
      </c>
      <c r="G30" s="37">
        <v>292007</v>
      </c>
      <c r="H30" s="37">
        <v>802528</v>
      </c>
      <c r="I30" s="15">
        <v>929065</v>
      </c>
      <c r="J30" s="37">
        <v>299401</v>
      </c>
      <c r="K30" s="15">
        <v>943406</v>
      </c>
      <c r="L30" s="15">
        <v>1021237</v>
      </c>
      <c r="M30" s="15">
        <v>1071745</v>
      </c>
      <c r="N30" s="9">
        <f>SUM(B30:M30)</f>
        <v>9820788</v>
      </c>
      <c r="Q30" s="33"/>
      <c r="R30" s="32"/>
    </row>
    <row r="31" spans="1:18" ht="19.5" customHeight="1">
      <c r="A31" s="25" t="s">
        <v>27</v>
      </c>
      <c r="B31" s="28">
        <f>B30/B7*100</f>
        <v>8.459459621603136</v>
      </c>
      <c r="C31" s="28">
        <f aca="true" t="shared" si="6" ref="C31:M31">C30/C7*100</f>
        <v>7.995705355984175</v>
      </c>
      <c r="D31" s="28">
        <f t="shared" si="6"/>
        <v>8.504240516138465</v>
      </c>
      <c r="E31" s="28">
        <f t="shared" si="6"/>
        <v>8.62953774785023</v>
      </c>
      <c r="F31" s="28">
        <f>F30/F7*100</f>
        <v>8.448173674826903</v>
      </c>
      <c r="G31" s="28">
        <f t="shared" si="6"/>
        <v>3.990949508865299</v>
      </c>
      <c r="H31" s="28">
        <f t="shared" si="6"/>
        <v>10.363977955006021</v>
      </c>
      <c r="I31" s="28">
        <f t="shared" si="6"/>
        <v>10.09989938855856</v>
      </c>
      <c r="J31" s="28">
        <f t="shared" si="6"/>
        <v>3.3359755121942087</v>
      </c>
      <c r="K31" s="28">
        <f t="shared" si="6"/>
        <v>9.35390544881853</v>
      </c>
      <c r="L31" s="28">
        <f t="shared" si="6"/>
        <v>9.135135623492907</v>
      </c>
      <c r="M31" s="28">
        <f t="shared" si="6"/>
        <v>8.28524185713664</v>
      </c>
      <c r="N31" s="29"/>
      <c r="P31" s="34"/>
      <c r="Q31" s="32"/>
      <c r="R31" s="32"/>
    </row>
    <row r="32" spans="1:18" ht="19.5" customHeight="1">
      <c r="A32" s="24" t="s">
        <v>6</v>
      </c>
      <c r="B32" s="15">
        <f aca="true" t="shared" si="7" ref="B32:L32">IF(B26&gt;B30,B26-B30,0)</f>
        <v>718317</v>
      </c>
      <c r="C32" s="15">
        <f t="shared" si="7"/>
        <v>11309</v>
      </c>
      <c r="D32" s="15">
        <f t="shared" si="7"/>
        <v>806169</v>
      </c>
      <c r="E32" s="15">
        <f t="shared" si="7"/>
        <v>9325</v>
      </c>
      <c r="F32" s="15">
        <f t="shared" si="7"/>
        <v>428044</v>
      </c>
      <c r="G32" s="15">
        <f t="shared" si="7"/>
        <v>7425</v>
      </c>
      <c r="H32" s="15">
        <f t="shared" si="7"/>
        <v>668335</v>
      </c>
      <c r="I32" s="15">
        <f>IF(I26&gt;I30,I26-I30,0)</f>
        <v>168505</v>
      </c>
      <c r="J32" s="15">
        <f t="shared" si="7"/>
        <v>9106</v>
      </c>
      <c r="K32" s="15">
        <f t="shared" si="7"/>
        <v>824011</v>
      </c>
      <c r="L32" s="15">
        <f t="shared" si="7"/>
        <v>186054</v>
      </c>
      <c r="M32" s="15">
        <f>IF(M26&gt;M30,M26-M30,0)</f>
        <v>1253964</v>
      </c>
      <c r="N32" s="9">
        <f>SUM(B32:M32)</f>
        <v>5090564</v>
      </c>
      <c r="R32" s="31"/>
    </row>
    <row r="33" spans="1:16" ht="19.5" customHeight="1">
      <c r="A33" s="25" t="s">
        <v>27</v>
      </c>
      <c r="B33" s="28">
        <f aca="true" t="shared" si="8" ref="B33:M33">B32/B7*100</f>
        <v>5.745880969569469</v>
      </c>
      <c r="C33" s="28">
        <f t="shared" si="8"/>
        <v>0.10031421260528048</v>
      </c>
      <c r="D33" s="28">
        <f t="shared" si="8"/>
        <v>7.152050074437588</v>
      </c>
      <c r="E33" s="28">
        <f t="shared" si="8"/>
        <v>0.09942637644756007</v>
      </c>
      <c r="F33" s="28">
        <f t="shared" si="8"/>
        <v>4.923261942254924</v>
      </c>
      <c r="G33" s="28">
        <f t="shared" si="8"/>
        <v>0.10147975940071591</v>
      </c>
      <c r="H33" s="28">
        <f t="shared" si="8"/>
        <v>8.630987587422432</v>
      </c>
      <c r="I33" s="28">
        <f t="shared" si="8"/>
        <v>1.8318239805277998</v>
      </c>
      <c r="J33" s="28">
        <f t="shared" si="8"/>
        <v>0.1014605596308645</v>
      </c>
      <c r="K33" s="28">
        <f t="shared" si="8"/>
        <v>8.170099599521738</v>
      </c>
      <c r="L33" s="28">
        <f t="shared" si="8"/>
        <v>1.6642841214070285</v>
      </c>
      <c r="M33" s="28">
        <f t="shared" si="8"/>
        <v>9.693905751967575</v>
      </c>
      <c r="N33" s="29"/>
      <c r="O33" s="19"/>
      <c r="P33" s="19"/>
    </row>
    <row r="34" spans="1:14" ht="40.5" customHeight="1">
      <c r="A34" s="24" t="s">
        <v>3</v>
      </c>
      <c r="B34" s="16">
        <f aca="true" t="shared" si="9" ref="B34:M34">+IF(B7=0,"-",B26/B7)</f>
        <v>0.14205340591172605</v>
      </c>
      <c r="C34" s="16">
        <f>+IF(C7=0,"-",C26/C7)</f>
        <v>0.08096019568589455</v>
      </c>
      <c r="D34" s="16">
        <f t="shared" si="9"/>
        <v>0.15656290590576052</v>
      </c>
      <c r="E34" s="16">
        <f t="shared" si="9"/>
        <v>0.08728964124297792</v>
      </c>
      <c r="F34" s="16">
        <f t="shared" si="9"/>
        <v>0.13371435617081825</v>
      </c>
      <c r="G34" s="16">
        <f t="shared" si="9"/>
        <v>0.04092429268266015</v>
      </c>
      <c r="H34" s="16">
        <f t="shared" si="9"/>
        <v>0.18994965542428452</v>
      </c>
      <c r="I34" s="16">
        <f t="shared" si="9"/>
        <v>0.1193172336908636</v>
      </c>
      <c r="J34" s="16">
        <f t="shared" si="9"/>
        <v>0.034374360718250736</v>
      </c>
      <c r="K34" s="16">
        <f>+IF(K7=0,"-",K26/K7)</f>
        <v>0.1752400504834027</v>
      </c>
      <c r="L34" s="16">
        <f>+IF(L7=0,"-",L26/L7)</f>
        <v>0.10799419744899935</v>
      </c>
      <c r="M34" s="16">
        <f t="shared" si="9"/>
        <v>0.17979147609104215</v>
      </c>
      <c r="N34" s="17">
        <f>+IF(N7=0,"-",N26/N7)</f>
        <v>0.12368990485840503</v>
      </c>
    </row>
    <row r="37" ht="15">
      <c r="N37" s="31"/>
    </row>
    <row r="38" ht="15">
      <c r="N38" s="31"/>
    </row>
    <row r="39" ht="15">
      <c r="A39" s="18"/>
    </row>
  </sheetData>
  <sheetProtection/>
  <mergeCells count="5">
    <mergeCell ref="B6:N6"/>
    <mergeCell ref="A1:D1"/>
    <mergeCell ref="A2:H2"/>
    <mergeCell ref="A4:A5"/>
    <mergeCell ref="B4:N4"/>
  </mergeCells>
  <printOptions/>
  <pageMargins left="0.7086614173228347" right="0.11811023622047245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Zam_dir_eco</dc:creator>
  <cp:keywords/>
  <dc:description/>
  <cp:lastModifiedBy>Rybak_IN</cp:lastModifiedBy>
  <cp:lastPrinted>2022-02-15T07:20:00Z</cp:lastPrinted>
  <dcterms:created xsi:type="dcterms:W3CDTF">2009-03-31T06:53:37Z</dcterms:created>
  <dcterms:modified xsi:type="dcterms:W3CDTF">2022-02-15T07:29:09Z</dcterms:modified>
  <cp:category/>
  <cp:version/>
  <cp:contentType/>
  <cp:contentStatus/>
</cp:coreProperties>
</file>